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c8e078bca70b9bd/Documents/PhD/Trait Database/WD/"/>
    </mc:Choice>
  </mc:AlternateContent>
  <bookViews>
    <workbookView xWindow="0" yWindow="0" windowWidth="25200" windowHeight="12135" tabRatio="532" activeTab="1"/>
  </bookViews>
  <sheets>
    <sheet name="meta" sheetId="2" r:id="rId1"/>
    <sheet name="twig_wd" sheetId="1" r:id="rId2"/>
    <sheet name="summary" sheetId="3" r:id="rId3"/>
    <sheet name="twig_drytime" sheetId="4" r:id="rId4"/>
  </sheets>
  <definedNames>
    <definedName name="_xlnm._FilterDatabase" localSheetId="1" hidden="1">twig_wd!$A$1:$K$300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0" i="1" l="1"/>
  <c r="I298" i="1" l="1"/>
  <c r="I297" i="1" l="1"/>
  <c r="I296" i="1" l="1"/>
  <c r="I295" i="1"/>
  <c r="I294" i="1"/>
  <c r="I3" i="1"/>
  <c r="I293" i="1"/>
  <c r="I292" i="1"/>
  <c r="I291" i="1"/>
  <c r="I290" i="1"/>
  <c r="I289" i="1"/>
  <c r="G288" i="1"/>
  <c r="G287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G200" i="1"/>
  <c r="I227" i="1"/>
  <c r="I18" i="1"/>
  <c r="I17" i="1"/>
  <c r="G17" i="1"/>
  <c r="I184" i="1"/>
  <c r="I186" i="1"/>
  <c r="I185" i="1"/>
  <c r="I182" i="1"/>
  <c r="I183" i="1"/>
  <c r="I187" i="1"/>
  <c r="G184" i="1"/>
  <c r="G186" i="1"/>
  <c r="G185" i="1"/>
  <c r="I76" i="1"/>
  <c r="I75" i="1"/>
  <c r="I216" i="1"/>
  <c r="I194" i="1"/>
  <c r="I193" i="1"/>
  <c r="I192" i="1"/>
  <c r="I198" i="1"/>
  <c r="I202" i="1"/>
  <c r="I205" i="1"/>
  <c r="I204" i="1"/>
  <c r="I203" i="1"/>
  <c r="I200" i="1"/>
  <c r="I201" i="1"/>
  <c r="I199" i="1"/>
  <c r="G216" i="1"/>
  <c r="G193" i="1"/>
  <c r="G198" i="1"/>
  <c r="G202" i="1"/>
  <c r="G205" i="1"/>
  <c r="G204" i="1"/>
  <c r="G201" i="1"/>
  <c r="G199" i="1"/>
  <c r="H199" i="1"/>
  <c r="I161" i="1"/>
  <c r="I159" i="1"/>
  <c r="I160" i="1"/>
  <c r="I162" i="1"/>
  <c r="I196" i="1"/>
  <c r="I197" i="1"/>
  <c r="I195" i="1"/>
  <c r="I188" i="1"/>
  <c r="I190" i="1"/>
  <c r="I189" i="1"/>
  <c r="I191" i="1"/>
  <c r="G159" i="1"/>
  <c r="G195" i="1"/>
  <c r="G188" i="1"/>
  <c r="G190" i="1"/>
  <c r="I126" i="1"/>
  <c r="I125" i="1"/>
  <c r="I124" i="1"/>
  <c r="I128" i="1"/>
  <c r="I123" i="1"/>
  <c r="I127" i="1"/>
  <c r="G125" i="1"/>
  <c r="G124" i="1"/>
  <c r="G128" i="1"/>
  <c r="G123" i="1"/>
  <c r="G127" i="1"/>
  <c r="I48" i="1"/>
  <c r="I51" i="1"/>
  <c r="I54" i="1"/>
  <c r="I47" i="1"/>
  <c r="I50" i="1"/>
  <c r="I49" i="1"/>
  <c r="I53" i="1"/>
  <c r="I52" i="1"/>
  <c r="G48" i="1"/>
  <c r="G51" i="1"/>
  <c r="G54" i="1"/>
  <c r="G47" i="1"/>
  <c r="G50" i="1"/>
  <c r="G53" i="1"/>
  <c r="I8" i="1"/>
  <c r="I4" i="1"/>
  <c r="I2" i="1"/>
  <c r="I5" i="1"/>
  <c r="I6" i="1"/>
  <c r="I7" i="1"/>
  <c r="I9" i="1"/>
  <c r="G8" i="1"/>
  <c r="G4" i="1"/>
  <c r="G2" i="1"/>
  <c r="G5" i="1"/>
  <c r="G6" i="1"/>
  <c r="G9" i="1"/>
  <c r="G7" i="1"/>
  <c r="I214" i="1"/>
  <c r="G214" i="1"/>
  <c r="G20" i="1"/>
  <c r="G223" i="1"/>
  <c r="G19" i="1"/>
  <c r="I20" i="1"/>
  <c r="I223" i="1"/>
  <c r="I19" i="1"/>
  <c r="H220" i="1"/>
  <c r="G70" i="1"/>
  <c r="G225" i="1"/>
  <c r="G73" i="1"/>
  <c r="G71" i="1"/>
  <c r="G72" i="1"/>
  <c r="G67" i="1"/>
  <c r="G65" i="1"/>
  <c r="G66" i="1"/>
  <c r="G68" i="1"/>
  <c r="G220" i="1"/>
  <c r="G61" i="1"/>
  <c r="G59" i="1"/>
  <c r="G55" i="1"/>
  <c r="G221" i="1"/>
  <c r="G60" i="1"/>
  <c r="G57" i="1"/>
  <c r="G164" i="1"/>
  <c r="G167" i="1"/>
  <c r="G176" i="1"/>
  <c r="G163" i="1"/>
  <c r="G177" i="1"/>
  <c r="G173" i="1"/>
  <c r="G166" i="1"/>
  <c r="G174" i="1"/>
  <c r="G172" i="1"/>
  <c r="G222" i="1"/>
  <c r="G147" i="1"/>
  <c r="G149" i="1"/>
  <c r="G157" i="1"/>
  <c r="G151" i="1"/>
  <c r="G152" i="1"/>
  <c r="G146" i="1"/>
  <c r="G158" i="1"/>
  <c r="G148" i="1"/>
  <c r="G140" i="1"/>
  <c r="G141" i="1"/>
  <c r="G132" i="1"/>
  <c r="G138" i="1"/>
  <c r="G137" i="1"/>
  <c r="G133" i="1"/>
  <c r="G142" i="1"/>
  <c r="G144" i="1"/>
  <c r="G143" i="1"/>
  <c r="G121" i="1"/>
  <c r="G120" i="1"/>
  <c r="G118" i="1"/>
  <c r="G117" i="1"/>
  <c r="G116" i="1"/>
  <c r="G115" i="1"/>
  <c r="G114" i="1"/>
  <c r="G113" i="1"/>
  <c r="G110" i="1"/>
  <c r="G107" i="1"/>
  <c r="G104" i="1"/>
  <c r="G224" i="1"/>
  <c r="G217" i="1"/>
  <c r="G42" i="1"/>
  <c r="G33" i="1"/>
  <c r="G45" i="1"/>
  <c r="G31" i="1"/>
  <c r="G85" i="1"/>
  <c r="G90" i="1"/>
  <c r="G83" i="1"/>
  <c r="G93" i="1"/>
  <c r="G97" i="1"/>
</calcChain>
</file>

<file path=xl/sharedStrings.xml><?xml version="1.0" encoding="utf-8"?>
<sst xmlns="http://schemas.openxmlformats.org/spreadsheetml/2006/main" count="1516" uniqueCount="352">
  <si>
    <t>PlotID</t>
  </si>
  <si>
    <t>FieldID</t>
  </si>
  <si>
    <t>Comment</t>
  </si>
  <si>
    <t>A63</t>
  </si>
  <si>
    <t>Silverback-1</t>
  </si>
  <si>
    <t>Swollen Pulvinus vine</t>
  </si>
  <si>
    <t>Syzygium filiformi</t>
  </si>
  <si>
    <t>Silverback-2</t>
  </si>
  <si>
    <t>Trigonostemon</t>
  </si>
  <si>
    <t>Rorea as. vine</t>
  </si>
  <si>
    <t>D13</t>
  </si>
  <si>
    <t>Timonius</t>
  </si>
  <si>
    <t>outside plot area</t>
  </si>
  <si>
    <t>Ilex</t>
  </si>
  <si>
    <t>collected opportunistically with Chong Kwek Yan and Germaine Tan Shu Yi</t>
  </si>
  <si>
    <t>Ficus glob</t>
  </si>
  <si>
    <t>Dillenia suff 1</t>
  </si>
  <si>
    <t>Dillenia suff 2</t>
  </si>
  <si>
    <t>MeasureDate</t>
  </si>
  <si>
    <t>Project</t>
  </si>
  <si>
    <t>Mandai</t>
  </si>
  <si>
    <t>Opportunistic</t>
  </si>
  <si>
    <t>Kent Ridge</t>
  </si>
  <si>
    <t>Species</t>
  </si>
  <si>
    <t>Ficus grossularioides</t>
  </si>
  <si>
    <t>Dillenia suffruticosa</t>
  </si>
  <si>
    <t>H8</t>
  </si>
  <si>
    <t>H1</t>
  </si>
  <si>
    <t>7 or 9</t>
  </si>
  <si>
    <t>SVP</t>
  </si>
  <si>
    <t>F4</t>
  </si>
  <si>
    <t>Elaeocarpus.petiolatus</t>
  </si>
  <si>
    <t>"dead" in 2014, check. Also no leaf scan.</t>
  </si>
  <si>
    <t>F1</t>
  </si>
  <si>
    <t>D23</t>
  </si>
  <si>
    <t>Macaranga.conifera</t>
  </si>
  <si>
    <t>CollectDate</t>
  </si>
  <si>
    <t>unknown_Alex</t>
  </si>
  <si>
    <t>Palaquium</t>
  </si>
  <si>
    <t>Cryptocarya GRIFFITHI</t>
  </si>
  <si>
    <t>likely an outlier (measurement error?)</t>
  </si>
  <si>
    <t>G13</t>
  </si>
  <si>
    <t>Fisistigma</t>
  </si>
  <si>
    <t>Xanthophyllum eurhynchum</t>
  </si>
  <si>
    <t>Gaertnera obesa</t>
  </si>
  <si>
    <t>Macaranga bancana</t>
  </si>
  <si>
    <t>Gironniera nervosa</t>
  </si>
  <si>
    <t>Memecylon garcinioides</t>
  </si>
  <si>
    <t>Artocarpus kemando</t>
  </si>
  <si>
    <t>Koilodepas longifolium</t>
  </si>
  <si>
    <t>Elaeocarpus stipularis</t>
  </si>
  <si>
    <t>Alstonia angustifolia</t>
  </si>
  <si>
    <t>Elaeocarpus salicifolius</t>
  </si>
  <si>
    <t>Macaranga heynei</t>
  </si>
  <si>
    <t>Gynotroches axillaris</t>
  </si>
  <si>
    <t>5/6/2015</t>
  </si>
  <si>
    <t>Check Burseraceae 1</t>
  </si>
  <si>
    <t>Ixonanthes icosandra</t>
  </si>
  <si>
    <t>G17</t>
  </si>
  <si>
    <t>Macaranga conifera</t>
  </si>
  <si>
    <t>4/6/2015</t>
  </si>
  <si>
    <t>g</t>
  </si>
  <si>
    <t>Volume</t>
  </si>
  <si>
    <t>DW</t>
  </si>
  <si>
    <t>mL / cm3</t>
  </si>
  <si>
    <t>Dacryodes rostrata</t>
  </si>
  <si>
    <t>Ardisia teysmanniana</t>
  </si>
  <si>
    <t>Glycosmis chlorosperma</t>
  </si>
  <si>
    <t>Garcinia parvifolia</t>
  </si>
  <si>
    <t>Elaeocarpus petiolatus</t>
  </si>
  <si>
    <t>Dacryodes puberula</t>
  </si>
  <si>
    <t>Litsea firma</t>
  </si>
  <si>
    <t>Strombosia ceylanica</t>
  </si>
  <si>
    <t>Palaquium obovatum</t>
  </si>
  <si>
    <t>Drepananthus ramuliflorus</t>
  </si>
  <si>
    <t>Timonius wallichianus</t>
  </si>
  <si>
    <t>Rhodamnia cinerea</t>
  </si>
  <si>
    <t>Spatholobus ridleyi</t>
  </si>
  <si>
    <t>Syzygium filiforme</t>
  </si>
  <si>
    <t>Trigonostemon villosus</t>
  </si>
  <si>
    <t>Rourea asplenifolia</t>
  </si>
  <si>
    <t>Aporosa frutescens</t>
  </si>
  <si>
    <t>Dasymaschalon dasymaschalum</t>
  </si>
  <si>
    <t>Baccaurea parviflora</t>
  </si>
  <si>
    <t>Ilex cymosa</t>
  </si>
  <si>
    <t>Prunus polystachya</t>
  </si>
  <si>
    <t>Syzygium lineatum</t>
  </si>
  <si>
    <t>Litsea elliptica</t>
  </si>
  <si>
    <t>Archidendron clypearia</t>
  </si>
  <si>
    <t>Santiria laevigata</t>
  </si>
  <si>
    <t>Ixonanthes reticulata</t>
  </si>
  <si>
    <t>Heritiera javanica</t>
  </si>
  <si>
    <t>Ochanostachys amentacea</t>
  </si>
  <si>
    <t>Porterandia anisophylla</t>
  </si>
  <si>
    <t>Dacryodes longifolia</t>
  </si>
  <si>
    <t>Gordonia multinervis</t>
  </si>
  <si>
    <t>Croton oblongus</t>
  </si>
  <si>
    <t>Litsea castanea</t>
  </si>
  <si>
    <t>Scleropyrum pentandrum</t>
  </si>
  <si>
    <t>Dyera costulata</t>
  </si>
  <si>
    <t>Macaranga gigantea</t>
  </si>
  <si>
    <t>Lindera lucida</t>
  </si>
  <si>
    <t>Buchanania sessifolia</t>
  </si>
  <si>
    <t>Bhesa robusta</t>
  </si>
  <si>
    <t>Cratoxylum arborescens</t>
  </si>
  <si>
    <t>Cryptocarya griffithiana</t>
  </si>
  <si>
    <t>G2</t>
  </si>
  <si>
    <t>Porterandia.anisophylla</t>
  </si>
  <si>
    <t>Outside G2</t>
  </si>
  <si>
    <t>G4</t>
  </si>
  <si>
    <t>Anisophylla</t>
  </si>
  <si>
    <t>E10</t>
  </si>
  <si>
    <t>G.sco2</t>
  </si>
  <si>
    <t>Pternandra</t>
  </si>
  <si>
    <t>Maesa</t>
  </si>
  <si>
    <t>Macaranga.gigantea</t>
  </si>
  <si>
    <t>Near E10</t>
  </si>
  <si>
    <t>Syzygium borneense</t>
  </si>
  <si>
    <t>Xanthophyllum ellipticum</t>
  </si>
  <si>
    <t>Elaeocarpus mastersii</t>
  </si>
  <si>
    <t>Beilschmiedia madang</t>
  </si>
  <si>
    <t>Nothaphoebe umbelliblora</t>
  </si>
  <si>
    <t>Phaeanthus ophthalmicus</t>
  </si>
  <si>
    <t>Baccaurea bracteata</t>
  </si>
  <si>
    <t>Aporosa lucida</t>
  </si>
  <si>
    <t>Lithocarpus ewyckii</t>
  </si>
  <si>
    <t>Ficus microcarpa</t>
  </si>
  <si>
    <t>Knema laurina</t>
  </si>
  <si>
    <t>Anisophyllea disticha</t>
  </si>
  <si>
    <t>Heritiera elata</t>
  </si>
  <si>
    <t>Garcinia scortechinii</t>
  </si>
  <si>
    <t>Artocarpus integer</t>
  </si>
  <si>
    <t>Knema curtisii</t>
  </si>
  <si>
    <t>Ficus aurata</t>
  </si>
  <si>
    <t>Maesa ramentacea</t>
  </si>
  <si>
    <t>Pternandra echinata</t>
  </si>
  <si>
    <t>(blank)</t>
  </si>
  <si>
    <t>Grand Total</t>
  </si>
  <si>
    <t>Count</t>
  </si>
  <si>
    <t>E3</t>
  </si>
  <si>
    <t>Ficus fistulosa</t>
  </si>
  <si>
    <t>Garcinia griff</t>
  </si>
  <si>
    <t>Garcinia griffithii</t>
  </si>
  <si>
    <t>Mallotus paniculatus</t>
  </si>
  <si>
    <t>Santiria rubiginosa</t>
  </si>
  <si>
    <t>Litsea grandis</t>
  </si>
  <si>
    <t>Clerodendrum laevifolium</t>
  </si>
  <si>
    <t>hollowed when dry</t>
  </si>
  <si>
    <t>basal stem (plant killed)</t>
  </si>
  <si>
    <t>Fissistigma manubriatum</t>
  </si>
  <si>
    <t>Identified by Alex Yee based on stem pattern, not quite sure</t>
  </si>
  <si>
    <t>Outside E3</t>
  </si>
  <si>
    <t>Artocarpus elasticus</t>
  </si>
  <si>
    <t>D12</t>
  </si>
  <si>
    <t>Ginorriena.nervosa</t>
  </si>
  <si>
    <t>Outside D12</t>
  </si>
  <si>
    <t>Diameter</t>
  </si>
  <si>
    <t>A27</t>
  </si>
  <si>
    <t>macaranga bancana</t>
  </si>
  <si>
    <t>D57</t>
  </si>
  <si>
    <t>G14</t>
  </si>
  <si>
    <t>Terentang</t>
  </si>
  <si>
    <t>H12</t>
  </si>
  <si>
    <t>H16</t>
  </si>
  <si>
    <t>G21</t>
  </si>
  <si>
    <t>Gonystylus confusus</t>
  </si>
  <si>
    <t>Elaeocarpus ferrugineus</t>
  </si>
  <si>
    <t>Calophyllum teysmannii</t>
  </si>
  <si>
    <t>Diospyros lanceifolia</t>
  </si>
  <si>
    <t>Campnosperma auriculatum</t>
  </si>
  <si>
    <t>Koompasia malaccensis</t>
  </si>
  <si>
    <t>Archidendron microcarpum</t>
  </si>
  <si>
    <t>Memecylon dichotomum</t>
  </si>
  <si>
    <t>Lithocarpus conocarpus</t>
  </si>
  <si>
    <t>Aporosa globifera</t>
  </si>
  <si>
    <t>Glochidion lutescens</t>
  </si>
  <si>
    <t>Psydrax sp. 10</t>
  </si>
  <si>
    <t>Aquilaria malaccensis</t>
  </si>
  <si>
    <t>Decaspermum parviflorum</t>
  </si>
  <si>
    <t>Cratoxylum formosum</t>
  </si>
  <si>
    <t>Xylopia ferruginea</t>
  </si>
  <si>
    <t>Calophyllum tetrapterum</t>
  </si>
  <si>
    <t>Castanopsis wallichii</t>
  </si>
  <si>
    <t>H21</t>
  </si>
  <si>
    <t>Garcinia forbesii</t>
  </si>
  <si>
    <t>H23</t>
  </si>
  <si>
    <t>H18</t>
  </si>
  <si>
    <t>H13</t>
  </si>
  <si>
    <t>M.tri1</t>
  </si>
  <si>
    <t>Rattan</t>
  </si>
  <si>
    <t>Actino</t>
  </si>
  <si>
    <t>Horsfieldia polypherula</t>
  </si>
  <si>
    <t>Horsfieldia sucosa</t>
  </si>
  <si>
    <t>Baccaurea macrocarpa</t>
  </si>
  <si>
    <t>Cratoxylum cochinchinense</t>
  </si>
  <si>
    <t>Baccaurea polyneura</t>
  </si>
  <si>
    <t>Nephelium maingayi</t>
  </si>
  <si>
    <t>Macaranga trichocarpa</t>
  </si>
  <si>
    <t>H11</t>
  </si>
  <si>
    <t>B10</t>
  </si>
  <si>
    <t>E6</t>
  </si>
  <si>
    <t>Actinodaphne macrophylla</t>
  </si>
  <si>
    <t>Litsea accedens</t>
  </si>
  <si>
    <t>Trema cannabina</t>
  </si>
  <si>
    <t>Syzygium ridleyi</t>
  </si>
  <si>
    <t>Pimelodendron griffithianum</t>
  </si>
  <si>
    <t>Streblus elongatus</t>
  </si>
  <si>
    <t>WengNgai</t>
  </si>
  <si>
    <t>Trema</t>
  </si>
  <si>
    <t>Trema tomentosa</t>
  </si>
  <si>
    <t>Outside D23</t>
  </si>
  <si>
    <t>Near D23</t>
  </si>
  <si>
    <t>Near G4</t>
  </si>
  <si>
    <t>WW</t>
  </si>
  <si>
    <t>DW1</t>
  </si>
  <si>
    <t>DW2</t>
  </si>
  <si>
    <t>DW3</t>
  </si>
  <si>
    <t>DW4</t>
  </si>
  <si>
    <t>DW5</t>
  </si>
  <si>
    <t>DW6</t>
  </si>
  <si>
    <t>DW7</t>
  </si>
  <si>
    <t>DW8</t>
  </si>
  <si>
    <t>DW9</t>
  </si>
  <si>
    <t>DW10</t>
  </si>
  <si>
    <t>DryTime</t>
  </si>
  <si>
    <t>Malpan1</t>
  </si>
  <si>
    <t>Ficglo1</t>
  </si>
  <si>
    <t>Dilsuf1</t>
  </si>
  <si>
    <t>Dilsuf2</t>
  </si>
  <si>
    <t>Diam1</t>
  </si>
  <si>
    <t>Diam2</t>
  </si>
  <si>
    <t>Diam3</t>
  </si>
  <si>
    <t>MeasureDate1</t>
  </si>
  <si>
    <t>Dilsuf3</t>
  </si>
  <si>
    <t>Dilsuf4</t>
  </si>
  <si>
    <t>Dilsuf5</t>
  </si>
  <si>
    <t>Malpan2</t>
  </si>
  <si>
    <t>Ficglo2</t>
  </si>
  <si>
    <t>Sysmyr1</t>
  </si>
  <si>
    <t>Sysmyr2</t>
  </si>
  <si>
    <t>Sysmyr3</t>
  </si>
  <si>
    <t>Sysmyr4</t>
  </si>
  <si>
    <t>Sysmyr5</t>
  </si>
  <si>
    <t>Syzygium myrtifolium</t>
  </si>
  <si>
    <t>Malpan3</t>
  </si>
  <si>
    <t>Cracoc1</t>
  </si>
  <si>
    <t>Cracoc2</t>
  </si>
  <si>
    <t>Cracoc3</t>
  </si>
  <si>
    <t>Cracoc4</t>
  </si>
  <si>
    <t>Cracoc5</t>
  </si>
  <si>
    <t>Comments</t>
  </si>
  <si>
    <t>S3</t>
  </si>
  <si>
    <t>S8</t>
  </si>
  <si>
    <t>S1</t>
  </si>
  <si>
    <t>Uhall</t>
  </si>
  <si>
    <t>NA</t>
  </si>
  <si>
    <t>Not measured 1/11/2015</t>
  </si>
  <si>
    <t>Melastoma malabathricum</t>
  </si>
  <si>
    <t>Malpan4</t>
  </si>
  <si>
    <t>Malpan5</t>
  </si>
  <si>
    <t>Ficglo3</t>
  </si>
  <si>
    <t>Ficglo4</t>
  </si>
  <si>
    <t>Ficglo5</t>
  </si>
  <si>
    <t>KentRidge</t>
  </si>
  <si>
    <t>Melmal1</t>
  </si>
  <si>
    <t>Melmal2</t>
  </si>
  <si>
    <t>Melmal3</t>
  </si>
  <si>
    <t>Melmal4</t>
  </si>
  <si>
    <t>Nursery</t>
  </si>
  <si>
    <t>Cratoxylum maingayi</t>
  </si>
  <si>
    <t>Not measured 1/11/2015 and 8/11/2015</t>
  </si>
  <si>
    <t>Not measured 8/11/2015</t>
  </si>
  <si>
    <t>Not measured since 8/11/2015</t>
  </si>
  <si>
    <t>NeeSoon</t>
  </si>
  <si>
    <t>Garpar1</t>
  </si>
  <si>
    <t>Garpar2</t>
  </si>
  <si>
    <t>Garpar3</t>
  </si>
  <si>
    <t>NSSF</t>
  </si>
  <si>
    <t>Ziziphus calophylla</t>
  </si>
  <si>
    <t>Archidendron jiringa</t>
  </si>
  <si>
    <t>sapling, harvested main stem</t>
  </si>
  <si>
    <t>species not ID'd</t>
  </si>
  <si>
    <t>Cinnamomum iners</t>
  </si>
  <si>
    <t>Syzygium grande</t>
  </si>
  <si>
    <t>Falcataria moluccana</t>
  </si>
  <si>
    <t>Clausena excavata</t>
  </si>
  <si>
    <t>Symplocos fasciculata</t>
  </si>
  <si>
    <t>Clerodendrum villosum</t>
  </si>
  <si>
    <t>Macaranga griff</t>
  </si>
  <si>
    <t>Macaranga griffithiana</t>
  </si>
  <si>
    <t>Calo wall</t>
  </si>
  <si>
    <t>Calophyllum wallichianum var. incrassatum</t>
  </si>
  <si>
    <t>Fissistigma latifolium var. ovoideum</t>
  </si>
  <si>
    <t>ant nesting, some outer bark peeled</t>
  </si>
  <si>
    <t>Q204</t>
  </si>
  <si>
    <t>Actinodaphne malaccensis</t>
  </si>
  <si>
    <t>Knema communis</t>
  </si>
  <si>
    <t>Q111</t>
  </si>
  <si>
    <t>Camnosperma squa</t>
  </si>
  <si>
    <t>Sandoricum</t>
  </si>
  <si>
    <t>Leaf litter</t>
  </si>
  <si>
    <t>F. fistulosa</t>
  </si>
  <si>
    <t>Campnosperma squamatum</t>
  </si>
  <si>
    <t>Sandoricum beccarianum</t>
  </si>
  <si>
    <t>Agrostistachys borneensis</t>
  </si>
  <si>
    <t>Santiria apiculata</t>
  </si>
  <si>
    <t>main stem, whole plant harvested, plant largely a understorey species</t>
  </si>
  <si>
    <t>Holland Woods</t>
  </si>
  <si>
    <t>Senna 1</t>
  </si>
  <si>
    <t>Senna 2</t>
  </si>
  <si>
    <t>Albizia 2</t>
  </si>
  <si>
    <t>Senna alata</t>
  </si>
  <si>
    <t>collected by Lam Weng Ngai</t>
  </si>
  <si>
    <t>Aporosa lunata</t>
  </si>
  <si>
    <t>Maranthes</t>
  </si>
  <si>
    <t>Maranthes corymbosa</t>
  </si>
  <si>
    <t>collected by Louise Neo</t>
  </si>
  <si>
    <t>Q509</t>
  </si>
  <si>
    <t>Polyalthia cauliflora</t>
  </si>
  <si>
    <t>Labrador Park</t>
  </si>
  <si>
    <t>Syzygium syzygioides</t>
  </si>
  <si>
    <t>Callerya atropurpurea</t>
  </si>
  <si>
    <t>big branch collected from NParks tree trimming</t>
  </si>
  <si>
    <t>WW 15.655 g</t>
  </si>
  <si>
    <t>big branch collected from NParks tree trimming; WW 290.976 g</t>
  </si>
  <si>
    <t>Calophyllum pulcherimum</t>
  </si>
  <si>
    <t>Calophyllum pulcherrimum</t>
  </si>
  <si>
    <t>collected by Seah Wei Wei</t>
  </si>
  <si>
    <t>NUS School Field</t>
  </si>
  <si>
    <t>Baphia nitida</t>
  </si>
  <si>
    <t>WW 181.176g</t>
  </si>
  <si>
    <t>Diospyros blancoi</t>
  </si>
  <si>
    <t>Diospyros discolor</t>
  </si>
  <si>
    <t>Tekukor</t>
  </si>
  <si>
    <t>major branch, collected from Chung Yi Fei at Labrador Park</t>
  </si>
  <si>
    <t>Peltophorum pterocarpum</t>
  </si>
  <si>
    <t>Outlier</t>
  </si>
  <si>
    <t>very large branch wood, Volume estimate very dodgy, don't use</t>
  </si>
  <si>
    <t>Calophyllum rubi or teys</t>
  </si>
  <si>
    <t>Garcinia sp.</t>
  </si>
  <si>
    <t>Jelutong1</t>
  </si>
  <si>
    <t>Dover</t>
  </si>
  <si>
    <t>Baccaurea motleyana</t>
  </si>
  <si>
    <t>S2</t>
  </si>
  <si>
    <t>Dillenia suff</t>
  </si>
  <si>
    <t>measured with volume displacement (no weighting)</t>
  </si>
  <si>
    <t>collected near Old Upper Thompson Rd carpark (beside dam)</t>
  </si>
  <si>
    <t>Native nursery</t>
  </si>
  <si>
    <t>Ficus heteropleura</t>
  </si>
  <si>
    <t>one of many main stems (multistemmed climber)</t>
  </si>
  <si>
    <t>From ZhongYu analysis this could be outlier</t>
  </si>
  <si>
    <t>Buchanania sessilifolia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</si>
</sst>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8" fillId="0" borderId="0" xfId="0" applyFont="1"/>
    <xf numFmtId="14" fontId="28" fillId="0" borderId="0" xfId="0" applyNumberFormat="1" applyFont="1"/>
    <xf numFmtId="49" fontId="28" fillId="0" borderId="0" xfId="0" applyNumberFormat="1" applyFont="1"/>
    <xf numFmtId="164" fontId="28" fillId="0" borderId="0" xfId="0" applyNumberFormat="1" applyFont="1"/>
    <xf numFmtId="0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7" fillId="0" borderId="0" xfId="0" applyFont="1"/>
    <xf numFmtId="0" fontId="26" fillId="0" borderId="0" xfId="0" applyFont="1"/>
    <xf numFmtId="0" fontId="26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2" fontId="28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 applyAlignme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sz val="10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i Hao Ran" refreshedDate="42425.751316898146" createdVersion="4" refreshedVersion="4" minRefreshableVersion="3" recordCount="293">
  <cacheSource type="worksheet">
    <worksheetSource ref="D1:D1048576" sheet="twig_wd"/>
  </cacheSource>
  <cacheFields count="1">
    <cacheField name="Species" numFmtId="0">
      <sharedItems containsBlank="1" count="153">
        <s v="Santiria rubiginosa"/>
        <s v="Clerodendrum laevifolium"/>
        <s v="Knema curtisii"/>
        <s v="Xylopia ferruginea"/>
        <s v="Artocarpus elasticus"/>
        <s v="Macaranga bancana"/>
        <s v="Prunus polystachya"/>
        <s v="Rourea asplenifolia"/>
        <s v="Rhodamnia cinerea"/>
        <s v="Spatholobus ridleyi"/>
        <s v="Syzygium filiforme"/>
        <s v="Trigonostemon villosus"/>
        <s v="Ochanostachys amentacea"/>
        <s v="Litsea accedens"/>
        <s v="Palaquium obovatum"/>
        <s v="Litsea elliptica"/>
        <s v="Dasymaschalon dasymaschalum"/>
        <s v="Aporosa frutescens"/>
        <s v="Gynotroches axillaris"/>
        <s v="Baccaurea parviflora"/>
        <s v="Timonius wallichianus"/>
        <s v="Dyera costulata"/>
        <s v="Gironniera nervosa"/>
        <s v="Scleropyrum pentandrum"/>
        <s v="Xanthophyllum eurhynchum"/>
        <s v="Porterandia anisophylla"/>
        <s v="Macaranga conifera"/>
        <s v="Archidendron clypearia"/>
        <s v="Lindera lucida"/>
        <s v="Litsea firma"/>
        <s v="Bhesa robusta"/>
        <s v="Macaranga gigantea"/>
        <s v="Cratoxylum arborescens"/>
        <s v="Buchanania sessifolia"/>
        <s v="Aquilaria malaccensis"/>
        <s v="Elaeocarpus ferrugineus"/>
        <s v="Psydrax sp. 10"/>
        <s v="Cratoxylum formosum"/>
        <s v="Aporosa globifera"/>
        <s v="Glochidion lutescens"/>
        <s v="Decaspermum parviflorum"/>
        <s v="Artocarpus integer"/>
        <s v="Calophyllum wallichianum var. incrassatum"/>
        <s v="Ficus aurata"/>
        <s v="Garcinia parvifolia"/>
        <s v="Maesa ramentacea"/>
        <s v="Litsea grandis"/>
        <s v="Mallotus paniculatus"/>
        <s v="Elaeocarpus petiolatus"/>
        <s v="Elaeocarpus mastersii"/>
        <s v="Elaeocarpus stipularis"/>
        <s v="Fissistigma manubriatum"/>
        <s v="Garcinia griffithii"/>
        <s v="Trema cannabina"/>
        <s v="Alstonia angustifolia"/>
        <s v="Croton oblongus"/>
        <s v="Heritiera javanica"/>
        <s v="Gordonia multinervis"/>
        <s v="Dacryodes longifolia"/>
        <s v="Litsea castanea"/>
        <s v="Ixonanthes reticulata"/>
        <s v="Syzygium lineatum"/>
        <s v="Santiria laevigata"/>
        <s v="Gaertnera obesa"/>
        <s v="Memecylon garcinioides"/>
        <s v="Ixonanthes icosandra"/>
        <s v="Artocarpus kemando"/>
        <s v="Koilodepas longifolium"/>
        <s v="Elaeocarpus salicifolius"/>
        <s v="Macaranga heynei"/>
        <s v="Fissistigma latifolium var. ovoideum"/>
        <s v="Archidendron microcarpum"/>
        <s v="Memecylon dichotomum"/>
        <s v="Lithocarpus conocarpus"/>
        <s v="Koompasia malaccensis"/>
        <s v="Campnosperma auriculatum"/>
        <s v="Dacryodes rostrata"/>
        <s v="Glycosmis chlorosperma"/>
        <s v="Ardisia teysmanniana"/>
        <s v="Dacryodes puberula"/>
        <s v="Strombosia ceylanica"/>
        <s v="Drepananthus ramuliflorus"/>
        <s v="Syzygium borneense"/>
        <s v="Xanthophyllum ellipticum"/>
        <s v="Beilschmiedia madang"/>
        <s v="Nothaphoebe umbelliblora"/>
        <s v="Phaeanthus ophthalmicus"/>
        <s v="Gonystylus confusus"/>
        <s v="Heritiera elata"/>
        <s v="Baccaurea bracteata"/>
        <s v="Aporosa lucida"/>
        <s v="Lithocarpus ewyckii"/>
        <s v="Ficus microcarpa"/>
        <s v="Knema laurina"/>
        <s v="Syzygium ridleyi"/>
        <s v="Streblus elongatus"/>
        <s v="Pimelodendron griffithianum"/>
        <s v="Castanopsis wallichii"/>
        <s v="Calophyllum tetrapterum"/>
        <s v="Nephelium maingayi"/>
        <s v="Macaranga trichocarpa"/>
        <s v="Rattan"/>
        <s v="Calophyllum teysmannii"/>
        <s v="Diospyros lanceifolia"/>
        <s v="Baccaurea polyneura"/>
        <s v="Horsfieldia polypherula"/>
        <s v="Garcinia forbesii"/>
        <s v="Cratoxylum cochinchinense"/>
        <s v="Pternandra echinata"/>
        <s v="Horsfieldia sucosa"/>
        <s v="Baccaurea macrocarpa"/>
        <s v="Dillenia suffruticosa"/>
        <s v="Ficus grossularioides"/>
        <s v="Ilex cymosa"/>
        <s v="Actinodaphne macrophylla"/>
        <s v="Garcinia scortechinii"/>
        <s v="Anisophyllea disticha"/>
        <s v="Cryptocarya griffithiana"/>
        <s v="Trema tomentosa"/>
        <s v="Cratoxylum maingayi"/>
        <s v="Falcataria moluccana"/>
        <s v="Clausena excavata"/>
        <s v="Ziziphus calophylla"/>
        <s v="Archidendron jiringa"/>
        <s v="Cinnamomum iners"/>
        <s v="Syzygium grande"/>
        <s v="Symplocos fasciculata"/>
        <s v="Clerodendrum villosum"/>
        <s v="Macaranga griffithiana"/>
        <s v="Actinodaphne malaccensis"/>
        <s v="Knema communis"/>
        <s v="Syzygium myrtifolium"/>
        <s v="Melastoma malabathricum"/>
        <s v="Campnosperma squamatum"/>
        <s v="Sandoricum beccarianum"/>
        <s v="Santiria apiculata"/>
        <s v="Agrostistachys borneensis"/>
        <s v="Ficus fistulosa"/>
        <s v="Senna alata"/>
        <s v="Aporosa lunata"/>
        <s v="Maranthes corymbosa"/>
        <s v="Polyalthia cauliflora"/>
        <s v="Syzygium syzygioides"/>
        <s v="Callerya atropurpurea"/>
        <s v="Calophyllum pulcherrimum"/>
        <s v="Baphia nitida"/>
        <s v="Diospyros blancoi"/>
        <s v="Peltophorum pterocarpum"/>
        <m/>
        <s v="Falcataria moluccana    " u="1"/>
        <s v="Fissistigma latifolium var ovoideum" u="1"/>
        <s v="Clausena excavata  " u="1"/>
        <s v="Calophyllum wallichianum var incrassat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8"/>
  </r>
  <r>
    <x v="10"/>
  </r>
  <r>
    <x v="19"/>
  </r>
  <r>
    <x v="20"/>
  </r>
  <r>
    <x v="21"/>
  </r>
  <r>
    <x v="22"/>
  </r>
  <r>
    <x v="22"/>
  </r>
  <r>
    <x v="23"/>
  </r>
  <r>
    <x v="24"/>
  </r>
  <r>
    <x v="19"/>
  </r>
  <r>
    <x v="25"/>
  </r>
  <r>
    <x v="26"/>
  </r>
  <r>
    <x v="27"/>
  </r>
  <r>
    <x v="21"/>
  </r>
  <r>
    <x v="14"/>
  </r>
  <r>
    <x v="28"/>
  </r>
  <r>
    <x v="29"/>
  </r>
  <r>
    <x v="30"/>
  </r>
  <r>
    <x v="31"/>
  </r>
  <r>
    <x v="32"/>
  </r>
  <r>
    <x v="33"/>
  </r>
  <r>
    <x v="12"/>
  </r>
  <r>
    <x v="21"/>
  </r>
  <r>
    <x v="34"/>
  </r>
  <r>
    <x v="35"/>
  </r>
  <r>
    <x v="36"/>
  </r>
  <r>
    <x v="36"/>
  </r>
  <r>
    <x v="37"/>
  </r>
  <r>
    <x v="38"/>
  </r>
  <r>
    <x v="39"/>
  </r>
  <r>
    <x v="40"/>
  </r>
  <r>
    <x v="41"/>
  </r>
  <r>
    <x v="2"/>
  </r>
  <r>
    <x v="42"/>
  </r>
  <r>
    <x v="41"/>
  </r>
  <r>
    <x v="43"/>
  </r>
  <r>
    <x v="44"/>
  </r>
  <r>
    <x v="45"/>
  </r>
  <r>
    <x v="46"/>
  </r>
  <r>
    <x v="47"/>
  </r>
  <r>
    <x v="48"/>
  </r>
  <r>
    <x v="48"/>
  </r>
  <r>
    <x v="0"/>
  </r>
  <r>
    <x v="1"/>
  </r>
  <r>
    <x v="26"/>
  </r>
  <r>
    <x v="49"/>
  </r>
  <r>
    <x v="50"/>
  </r>
  <r>
    <x v="4"/>
  </r>
  <r>
    <x v="51"/>
  </r>
  <r>
    <x v="52"/>
  </r>
  <r>
    <x v="10"/>
  </r>
  <r>
    <x v="13"/>
  </r>
  <r>
    <x v="53"/>
  </r>
  <r>
    <x v="10"/>
  </r>
  <r>
    <x v="25"/>
  </r>
  <r>
    <x v="8"/>
  </r>
  <r>
    <x v="10"/>
  </r>
  <r>
    <x v="54"/>
  </r>
  <r>
    <x v="10"/>
  </r>
  <r>
    <x v="6"/>
  </r>
  <r>
    <x v="54"/>
  </r>
  <r>
    <x v="55"/>
  </r>
  <r>
    <x v="10"/>
  </r>
  <r>
    <x v="12"/>
  </r>
  <r>
    <x v="56"/>
  </r>
  <r>
    <x v="57"/>
  </r>
  <r>
    <x v="58"/>
  </r>
  <r>
    <x v="15"/>
  </r>
  <r>
    <x v="59"/>
  </r>
  <r>
    <x v="15"/>
  </r>
  <r>
    <x v="60"/>
  </r>
  <r>
    <x v="61"/>
  </r>
  <r>
    <x v="27"/>
  </r>
  <r>
    <x v="15"/>
  </r>
  <r>
    <x v="62"/>
  </r>
  <r>
    <x v="22"/>
  </r>
  <r>
    <x v="44"/>
  </r>
  <r>
    <x v="6"/>
  </r>
  <r>
    <x v="48"/>
  </r>
  <r>
    <x v="58"/>
  </r>
  <r>
    <x v="24"/>
  </r>
  <r>
    <x v="63"/>
  </r>
  <r>
    <x v="5"/>
  </r>
  <r>
    <x v="58"/>
  </r>
  <r>
    <x v="22"/>
  </r>
  <r>
    <x v="64"/>
  </r>
  <r>
    <x v="44"/>
  </r>
  <r>
    <x v="24"/>
  </r>
  <r>
    <x v="65"/>
  </r>
  <r>
    <x v="66"/>
  </r>
  <r>
    <x v="67"/>
  </r>
  <r>
    <x v="50"/>
  </r>
  <r>
    <x v="54"/>
  </r>
  <r>
    <x v="42"/>
  </r>
  <r>
    <x v="68"/>
  </r>
  <r>
    <x v="69"/>
  </r>
  <r>
    <x v="69"/>
  </r>
  <r>
    <x v="18"/>
  </r>
  <r>
    <x v="70"/>
  </r>
  <r>
    <x v="71"/>
  </r>
  <r>
    <x v="72"/>
  </r>
  <r>
    <x v="71"/>
  </r>
  <r>
    <x v="73"/>
  </r>
  <r>
    <x v="74"/>
  </r>
  <r>
    <x v="75"/>
  </r>
  <r>
    <x v="76"/>
  </r>
  <r>
    <x v="20"/>
  </r>
  <r>
    <x v="77"/>
  </r>
  <r>
    <x v="58"/>
  </r>
  <r>
    <x v="44"/>
  </r>
  <r>
    <x v="14"/>
  </r>
  <r>
    <x v="48"/>
  </r>
  <r>
    <x v="78"/>
  </r>
  <r>
    <x v="79"/>
  </r>
  <r>
    <x v="42"/>
  </r>
  <r>
    <x v="29"/>
  </r>
  <r>
    <x v="42"/>
  </r>
  <r>
    <x v="80"/>
  </r>
  <r>
    <x v="14"/>
  </r>
  <r>
    <x v="81"/>
  </r>
  <r>
    <x v="81"/>
  </r>
  <r>
    <x v="26"/>
  </r>
  <r>
    <x v="54"/>
  </r>
  <r>
    <x v="82"/>
  </r>
  <r>
    <x v="83"/>
  </r>
  <r>
    <x v="49"/>
  </r>
  <r>
    <x v="84"/>
  </r>
  <r>
    <x v="15"/>
  </r>
  <r>
    <x v="27"/>
  </r>
  <r>
    <x v="8"/>
  </r>
  <r>
    <x v="27"/>
  </r>
  <r>
    <x v="27"/>
  </r>
  <r>
    <x v="54"/>
  </r>
  <r>
    <x v="85"/>
  </r>
  <r>
    <x v="86"/>
  </r>
  <r>
    <x v="35"/>
  </r>
  <r>
    <x v="16"/>
  </r>
  <r>
    <x v="60"/>
  </r>
  <r>
    <x v="87"/>
  </r>
  <r>
    <x v="88"/>
  </r>
  <r>
    <x v="89"/>
  </r>
  <r>
    <x v="89"/>
  </r>
  <r>
    <x v="25"/>
  </r>
  <r>
    <x v="90"/>
  </r>
  <r>
    <x v="65"/>
  </r>
  <r>
    <x v="65"/>
  </r>
  <r>
    <x v="20"/>
  </r>
  <r>
    <x v="6"/>
  </r>
  <r>
    <x v="15"/>
  </r>
  <r>
    <x v="91"/>
  </r>
  <r>
    <x v="68"/>
  </r>
  <r>
    <x v="68"/>
  </r>
  <r>
    <x v="92"/>
  </r>
  <r>
    <x v="93"/>
  </r>
  <r>
    <x v="8"/>
  </r>
  <r>
    <x v="50"/>
  </r>
  <r>
    <x v="6"/>
  </r>
  <r>
    <x v="9"/>
  </r>
  <r>
    <x v="67"/>
  </r>
  <r>
    <x v="94"/>
  </r>
  <r>
    <x v="95"/>
  </r>
  <r>
    <x v="34"/>
  </r>
  <r>
    <x v="96"/>
  </r>
  <r>
    <x v="55"/>
  </r>
  <r>
    <x v="97"/>
  </r>
  <r>
    <x v="69"/>
  </r>
  <r>
    <x v="28"/>
  </r>
  <r>
    <x v="98"/>
  </r>
  <r>
    <x v="99"/>
  </r>
  <r>
    <x v="100"/>
  </r>
  <r>
    <x v="101"/>
  </r>
  <r>
    <x v="102"/>
  </r>
  <r>
    <x v="103"/>
  </r>
  <r>
    <x v="27"/>
  </r>
  <r>
    <x v="104"/>
  </r>
  <r>
    <x v="105"/>
  </r>
  <r>
    <x v="28"/>
  </r>
  <r>
    <x v="106"/>
  </r>
  <r>
    <x v="107"/>
  </r>
  <r>
    <x v="108"/>
  </r>
  <r>
    <x v="109"/>
  </r>
  <r>
    <x v="110"/>
  </r>
  <r>
    <x v="18"/>
  </r>
  <r>
    <x v="18"/>
  </r>
  <r>
    <x v="50"/>
  </r>
  <r>
    <x v="44"/>
  </r>
  <r>
    <x v="44"/>
  </r>
  <r>
    <x v="111"/>
  </r>
  <r>
    <x v="111"/>
  </r>
  <r>
    <x v="112"/>
  </r>
  <r>
    <x v="112"/>
  </r>
  <r>
    <x v="113"/>
  </r>
  <r>
    <x v="114"/>
  </r>
  <r>
    <x v="14"/>
  </r>
  <r>
    <x v="14"/>
  </r>
  <r>
    <x v="115"/>
  </r>
  <r>
    <x v="31"/>
  </r>
  <r>
    <x v="108"/>
  </r>
  <r>
    <x v="116"/>
  </r>
  <r>
    <x v="22"/>
  </r>
  <r>
    <x v="117"/>
  </r>
  <r>
    <x v="116"/>
  </r>
  <r>
    <x v="25"/>
  </r>
  <r>
    <x v="118"/>
  </r>
  <r>
    <x v="112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42"/>
  </r>
  <r>
    <x v="129"/>
  </r>
  <r>
    <x v="130"/>
  </r>
  <r>
    <x v="112"/>
  </r>
  <r>
    <x v="47"/>
  </r>
  <r>
    <x v="111"/>
  </r>
  <r>
    <x v="111"/>
  </r>
  <r>
    <x v="111"/>
  </r>
  <r>
    <x v="111"/>
  </r>
  <r>
    <x v="111"/>
  </r>
  <r>
    <x v="47"/>
  </r>
  <r>
    <x v="112"/>
  </r>
  <r>
    <x v="131"/>
  </r>
  <r>
    <x v="131"/>
  </r>
  <r>
    <x v="131"/>
  </r>
  <r>
    <x v="131"/>
  </r>
  <r>
    <x v="131"/>
  </r>
  <r>
    <x v="47"/>
  </r>
  <r>
    <x v="107"/>
  </r>
  <r>
    <x v="107"/>
  </r>
  <r>
    <x v="107"/>
  </r>
  <r>
    <x v="107"/>
  </r>
  <r>
    <x v="107"/>
  </r>
  <r>
    <x v="132"/>
  </r>
  <r>
    <x v="132"/>
  </r>
  <r>
    <x v="132"/>
  </r>
  <r>
    <x v="132"/>
  </r>
  <r>
    <x v="47"/>
  </r>
  <r>
    <x v="47"/>
  </r>
  <r>
    <x v="112"/>
  </r>
  <r>
    <x v="112"/>
  </r>
  <r>
    <x v="112"/>
  </r>
  <r>
    <x v="44"/>
  </r>
  <r>
    <x v="44"/>
  </r>
  <r>
    <x v="44"/>
  </r>
  <r>
    <x v="118"/>
  </r>
  <r>
    <x v="103"/>
  </r>
  <r>
    <x v="133"/>
  </r>
  <r>
    <x v="134"/>
  </r>
  <r>
    <x v="135"/>
  </r>
  <r>
    <x v="136"/>
  </r>
  <r>
    <x v="137"/>
  </r>
  <r>
    <x v="138"/>
  </r>
  <r>
    <x v="138"/>
  </r>
  <r>
    <x v="120"/>
  </r>
  <r>
    <x v="139"/>
  </r>
  <r>
    <x v="140"/>
  </r>
  <r>
    <x v="141"/>
  </r>
  <r>
    <x v="142"/>
  </r>
  <r>
    <x v="143"/>
  </r>
  <r>
    <x v="144"/>
  </r>
  <r>
    <x v="145"/>
  </r>
  <r>
    <x v="146"/>
  </r>
  <r>
    <x v="124"/>
  </r>
  <r>
    <x v="147"/>
  </r>
  <r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D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pecies">
  <location ref="A1:B151" firstHeaderRow="1" firstDataRow="1" firstDataCol="1"/>
  <pivotFields count="1">
    <pivotField axis="axisRow" dataField="1" showAll="0" sortType="ascending">
      <items count="154">
        <item x="114"/>
        <item x="129"/>
        <item x="136"/>
        <item x="54"/>
        <item x="116"/>
        <item x="17"/>
        <item x="38"/>
        <item x="90"/>
        <item x="139"/>
        <item x="34"/>
        <item x="27"/>
        <item x="123"/>
        <item x="71"/>
        <item x="78"/>
        <item x="4"/>
        <item x="41"/>
        <item x="66"/>
        <item x="89"/>
        <item x="110"/>
        <item x="19"/>
        <item x="104"/>
        <item x="145"/>
        <item x="84"/>
        <item x="30"/>
        <item x="33"/>
        <item x="143"/>
        <item x="144"/>
        <item x="98"/>
        <item x="102"/>
        <item m="1" x="152"/>
        <item x="42"/>
        <item x="75"/>
        <item x="133"/>
        <item x="97"/>
        <item x="124"/>
        <item x="121"/>
        <item m="1" x="151"/>
        <item x="1"/>
        <item x="127"/>
        <item x="32"/>
        <item x="107"/>
        <item x="37"/>
        <item x="119"/>
        <item x="55"/>
        <item x="117"/>
        <item x="58"/>
        <item x="79"/>
        <item x="76"/>
        <item x="16"/>
        <item x="40"/>
        <item x="111"/>
        <item x="146"/>
        <item x="103"/>
        <item x="81"/>
        <item x="21"/>
        <item x="35"/>
        <item x="49"/>
        <item x="48"/>
        <item x="68"/>
        <item x="50"/>
        <item x="120"/>
        <item m="1" x="149"/>
        <item x="43"/>
        <item x="137"/>
        <item x="112"/>
        <item x="92"/>
        <item m="1" x="150"/>
        <item x="70"/>
        <item x="51"/>
        <item x="63"/>
        <item x="106"/>
        <item x="52"/>
        <item x="44"/>
        <item x="115"/>
        <item x="22"/>
        <item x="39"/>
        <item x="77"/>
        <item x="87"/>
        <item x="57"/>
        <item x="18"/>
        <item x="88"/>
        <item x="56"/>
        <item x="105"/>
        <item x="109"/>
        <item x="113"/>
        <item x="65"/>
        <item x="60"/>
        <item x="130"/>
        <item x="2"/>
        <item x="93"/>
        <item x="67"/>
        <item x="74"/>
        <item x="28"/>
        <item x="73"/>
        <item x="91"/>
        <item x="13"/>
        <item x="59"/>
        <item x="15"/>
        <item x="29"/>
        <item x="46"/>
        <item x="5"/>
        <item x="26"/>
        <item x="31"/>
        <item x="128"/>
        <item x="69"/>
        <item x="100"/>
        <item x="45"/>
        <item x="47"/>
        <item x="140"/>
        <item x="132"/>
        <item x="72"/>
        <item x="64"/>
        <item x="99"/>
        <item x="85"/>
        <item x="12"/>
        <item x="14"/>
        <item x="147"/>
        <item x="86"/>
        <item x="96"/>
        <item x="141"/>
        <item x="25"/>
        <item x="6"/>
        <item x="36"/>
        <item x="108"/>
        <item x="101"/>
        <item x="8"/>
        <item x="7"/>
        <item x="134"/>
        <item x="135"/>
        <item x="62"/>
        <item x="0"/>
        <item x="23"/>
        <item x="138"/>
        <item x="9"/>
        <item x="95"/>
        <item x="80"/>
        <item x="126"/>
        <item x="82"/>
        <item x="10"/>
        <item x="125"/>
        <item x="61"/>
        <item x="131"/>
        <item x="94"/>
        <item x="142"/>
        <item x="20"/>
        <item x="53"/>
        <item x="118"/>
        <item x="11"/>
        <item x="83"/>
        <item x="24"/>
        <item x="3"/>
        <item x="122"/>
        <item x="148"/>
        <item t="default"/>
      </items>
    </pivotField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Count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12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23</v>
      </c>
    </row>
    <row r="4" spans="1:2" x14ac:dyDescent="0.25">
      <c r="A4" s="1" t="s">
        <v>36</v>
      </c>
    </row>
    <row r="5" spans="1:2" x14ac:dyDescent="0.25">
      <c r="A5" s="1" t="s">
        <v>18</v>
      </c>
    </row>
    <row r="6" spans="1:2" x14ac:dyDescent="0.25">
      <c r="A6" s="1" t="s">
        <v>62</v>
      </c>
      <c r="B6" t="s">
        <v>64</v>
      </c>
    </row>
    <row r="7" spans="1:2" x14ac:dyDescent="0.25">
      <c r="A7" s="1" t="s">
        <v>63</v>
      </c>
      <c r="B7" t="s">
        <v>61</v>
      </c>
    </row>
    <row r="8" spans="1:2" x14ac:dyDescent="0.25">
      <c r="A8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zoomScale="80" zoomScaleNormal="80" workbookViewId="0">
      <pane ySplit="1" topLeftCell="A14" activePane="bottomLeft" state="frozen"/>
      <selection pane="bottomLeft" activeCell="D44" sqref="D44"/>
    </sheetView>
  </sheetViews>
  <sheetFormatPr defaultRowHeight="12.75" x14ac:dyDescent="0.2"/>
  <cols>
    <col min="1" max="1" width="12" style="1" bestFit="1" customWidth="1"/>
    <col min="2" max="2" width="10.5703125" style="1" bestFit="1" customWidth="1"/>
    <col min="3" max="3" width="23.7109375" style="1" bestFit="1" customWidth="1"/>
    <col min="4" max="4" width="29" style="1" bestFit="1" customWidth="1"/>
    <col min="5" max="5" width="10.5703125" style="1" bestFit="1" customWidth="1"/>
    <col min="6" max="6" width="12" style="1" bestFit="1" customWidth="1"/>
    <col min="7" max="7" width="8.42578125" style="1" bestFit="1" customWidth="1"/>
    <col min="8" max="8" width="8.7109375" style="1" bestFit="1" customWidth="1"/>
    <col min="9" max="9" width="7.5703125" style="1" customWidth="1"/>
    <col min="10" max="10" width="64.85546875" style="1" bestFit="1" customWidth="1"/>
    <col min="11" max="11" width="6.7109375" style="1" bestFit="1" customWidth="1"/>
    <col min="12" max="16384" width="9.140625" style="1"/>
  </cols>
  <sheetData>
    <row r="1" spans="1:11" x14ac:dyDescent="0.2">
      <c r="A1" s="1" t="s">
        <v>19</v>
      </c>
      <c r="B1" s="1" t="s">
        <v>0</v>
      </c>
      <c r="C1" s="1" t="s">
        <v>1</v>
      </c>
      <c r="D1" s="1" t="s">
        <v>23</v>
      </c>
      <c r="E1" s="1" t="s">
        <v>36</v>
      </c>
      <c r="F1" s="1" t="s">
        <v>18</v>
      </c>
      <c r="G1" s="1" t="s">
        <v>62</v>
      </c>
      <c r="H1" s="1" t="s">
        <v>63</v>
      </c>
      <c r="I1" s="1" t="s">
        <v>156</v>
      </c>
      <c r="J1" s="1" t="s">
        <v>2</v>
      </c>
      <c r="K1" s="39" t="s">
        <v>336</v>
      </c>
    </row>
    <row r="2" spans="1:11" x14ac:dyDescent="0.2">
      <c r="A2" s="1" t="s">
        <v>20</v>
      </c>
      <c r="B2" s="1" t="s">
        <v>157</v>
      </c>
      <c r="C2" s="1">
        <v>32</v>
      </c>
      <c r="D2" s="1" t="s">
        <v>144</v>
      </c>
      <c r="E2" s="2">
        <v>42177</v>
      </c>
      <c r="F2" s="2">
        <v>42177</v>
      </c>
      <c r="G2" s="1">
        <f>8.92+9.638</f>
        <v>18.558</v>
      </c>
      <c r="H2" s="1">
        <v>8.3119999999999994</v>
      </c>
      <c r="I2" s="15">
        <f>AVERAGE(8.68,9.84,9.2)</f>
        <v>9.24</v>
      </c>
    </row>
    <row r="3" spans="1:11" x14ac:dyDescent="0.2">
      <c r="A3" s="1" t="s">
        <v>20</v>
      </c>
      <c r="B3" s="1" t="s">
        <v>157</v>
      </c>
      <c r="C3" s="1">
        <v>36</v>
      </c>
      <c r="D3" s="1" t="s">
        <v>146</v>
      </c>
      <c r="E3" s="2">
        <v>42177</v>
      </c>
      <c r="F3" s="2">
        <v>42177</v>
      </c>
      <c r="G3" s="1">
        <v>28.004999999999999</v>
      </c>
      <c r="H3" s="1">
        <v>9.9359999999999999</v>
      </c>
      <c r="I3" s="15">
        <f>AVERAGE(14.15,13.03,13.84)</f>
        <v>13.673333333333332</v>
      </c>
    </row>
    <row r="4" spans="1:11" x14ac:dyDescent="0.2">
      <c r="A4" s="1" t="s">
        <v>20</v>
      </c>
      <c r="B4" s="1" t="s">
        <v>157</v>
      </c>
      <c r="C4" s="1">
        <v>39</v>
      </c>
      <c r="D4" s="1" t="s">
        <v>132</v>
      </c>
      <c r="E4" s="2">
        <v>42177</v>
      </c>
      <c r="F4" s="2">
        <v>42177</v>
      </c>
      <c r="G4" s="1">
        <f>9.047+5.216+4.396</f>
        <v>18.659000000000002</v>
      </c>
      <c r="H4" s="1">
        <v>9.3719999999999999</v>
      </c>
      <c r="I4" s="15">
        <f>AVERAGE(8.26,5.75,7.94)</f>
        <v>7.3166666666666664</v>
      </c>
    </row>
    <row r="5" spans="1:11" x14ac:dyDescent="0.2">
      <c r="A5" s="1" t="s">
        <v>20</v>
      </c>
      <c r="B5" s="1" t="s">
        <v>157</v>
      </c>
      <c r="C5" s="1">
        <v>55</v>
      </c>
      <c r="D5" s="1" t="s">
        <v>180</v>
      </c>
      <c r="E5" s="2">
        <v>42177</v>
      </c>
      <c r="F5" s="2">
        <v>42177</v>
      </c>
      <c r="G5" s="1">
        <f>11.886+6.421+6.38</f>
        <v>24.686999999999998</v>
      </c>
      <c r="H5" s="1">
        <v>9.3140000000000001</v>
      </c>
      <c r="I5" s="15">
        <f>AVERAGE(7.74,9.04,8.9)</f>
        <v>8.56</v>
      </c>
    </row>
    <row r="6" spans="1:11" x14ac:dyDescent="0.2">
      <c r="A6" s="1" t="s">
        <v>20</v>
      </c>
      <c r="B6" s="1" t="s">
        <v>157</v>
      </c>
      <c r="C6" s="1">
        <v>58</v>
      </c>
      <c r="D6" s="1" t="s">
        <v>180</v>
      </c>
      <c r="E6" s="2">
        <v>42177</v>
      </c>
      <c r="F6" s="2">
        <v>42177</v>
      </c>
      <c r="G6" s="1">
        <f>9.777+9.997+12.347+12.096</f>
        <v>44.216999999999999</v>
      </c>
      <c r="H6" s="1">
        <v>16.699000000000002</v>
      </c>
      <c r="I6" s="15">
        <f>AVERAGE(9.97,9.65,9.88)</f>
        <v>9.8333333333333339</v>
      </c>
    </row>
    <row r="7" spans="1:11" x14ac:dyDescent="0.2">
      <c r="A7" s="1" t="s">
        <v>20</v>
      </c>
      <c r="B7" s="1" t="s">
        <v>157</v>
      </c>
      <c r="C7" s="1" t="s">
        <v>152</v>
      </c>
      <c r="D7" s="1" t="s">
        <v>152</v>
      </c>
      <c r="E7" s="2">
        <v>42177</v>
      </c>
      <c r="F7" s="2">
        <v>42177</v>
      </c>
      <c r="G7" s="1">
        <f>18.42+16.596</f>
        <v>35.016000000000005</v>
      </c>
      <c r="H7" s="1">
        <v>23.966000000000001</v>
      </c>
      <c r="I7" s="15">
        <f>AVERAGE(12.47,12.67,10.57)</f>
        <v>11.903333333333334</v>
      </c>
    </row>
    <row r="8" spans="1:11" x14ac:dyDescent="0.2">
      <c r="A8" s="1" t="s">
        <v>20</v>
      </c>
      <c r="B8" s="1" t="s">
        <v>157</v>
      </c>
      <c r="C8" s="1" t="s">
        <v>158</v>
      </c>
      <c r="D8" s="1" t="s">
        <v>45</v>
      </c>
      <c r="E8" s="2">
        <v>42177</v>
      </c>
      <c r="F8" s="2">
        <v>42177</v>
      </c>
      <c r="G8" s="1">
        <f>15.625+13.191+17.319+20.315</f>
        <v>66.45</v>
      </c>
      <c r="H8" s="1">
        <v>21.187999999999999</v>
      </c>
      <c r="I8" s="15">
        <f>AVERAGE(14.51,15.91,15.48)</f>
        <v>15.300000000000002</v>
      </c>
    </row>
    <row r="9" spans="1:11" x14ac:dyDescent="0.2">
      <c r="A9" s="1" t="s">
        <v>20</v>
      </c>
      <c r="B9" s="1" t="s">
        <v>157</v>
      </c>
      <c r="C9" s="1" t="s">
        <v>85</v>
      </c>
      <c r="D9" s="1" t="s">
        <v>85</v>
      </c>
      <c r="E9" s="2">
        <v>42177</v>
      </c>
      <c r="F9" s="2">
        <v>42177</v>
      </c>
      <c r="G9" s="1">
        <f>17.945+12.355+5.592+16.979+9.719</f>
        <v>62.59</v>
      </c>
      <c r="H9" s="1">
        <v>14.244999999999999</v>
      </c>
      <c r="I9" s="15">
        <f>AVERAGE(12.71,13.6,12.51)</f>
        <v>12.94</v>
      </c>
    </row>
    <row r="10" spans="1:11" x14ac:dyDescent="0.2">
      <c r="A10" s="1" t="s">
        <v>20</v>
      </c>
      <c r="B10" s="1" t="s">
        <v>3</v>
      </c>
      <c r="C10" s="1" t="s">
        <v>9</v>
      </c>
      <c r="D10" s="1" t="s">
        <v>80</v>
      </c>
      <c r="E10" s="2">
        <v>42143</v>
      </c>
      <c r="F10" s="2">
        <v>42151</v>
      </c>
      <c r="G10" s="4">
        <v>26.355</v>
      </c>
      <c r="H10" s="4">
        <v>11.686999999999999</v>
      </c>
      <c r="I10" s="15"/>
    </row>
    <row r="11" spans="1:11" x14ac:dyDescent="0.2">
      <c r="A11" s="1" t="s">
        <v>20</v>
      </c>
      <c r="B11" s="1" t="s">
        <v>3</v>
      </c>
      <c r="C11" s="1" t="s">
        <v>4</v>
      </c>
      <c r="D11" s="1" t="s">
        <v>76</v>
      </c>
      <c r="E11" s="2">
        <v>42143</v>
      </c>
      <c r="F11" s="2">
        <v>42151</v>
      </c>
      <c r="G11" s="4">
        <v>17.7</v>
      </c>
      <c r="H11" s="4">
        <v>12.898</v>
      </c>
      <c r="I11" s="15"/>
    </row>
    <row r="12" spans="1:11" x14ac:dyDescent="0.2">
      <c r="A12" s="1" t="s">
        <v>20</v>
      </c>
      <c r="B12" s="1" t="s">
        <v>3</v>
      </c>
      <c r="C12" s="1" t="s">
        <v>7</v>
      </c>
      <c r="D12" s="1" t="s">
        <v>76</v>
      </c>
      <c r="E12" s="2">
        <v>42143</v>
      </c>
      <c r="F12" s="2">
        <v>42151</v>
      </c>
      <c r="G12" s="4">
        <v>23.5</v>
      </c>
      <c r="H12" s="4">
        <v>12.478999999999999</v>
      </c>
      <c r="I12" s="15"/>
    </row>
    <row r="13" spans="1:11" x14ac:dyDescent="0.2">
      <c r="A13" s="1" t="s">
        <v>20</v>
      </c>
      <c r="B13" s="1" t="s">
        <v>3</v>
      </c>
      <c r="C13" s="1" t="s">
        <v>5</v>
      </c>
      <c r="D13" s="1" t="s">
        <v>77</v>
      </c>
      <c r="E13" s="2">
        <v>42143</v>
      </c>
      <c r="F13" s="2">
        <v>42151</v>
      </c>
      <c r="G13" s="4">
        <v>10.311</v>
      </c>
      <c r="H13" s="4">
        <v>4.9349999999999996</v>
      </c>
      <c r="I13" s="15"/>
    </row>
    <row r="14" spans="1:11" x14ac:dyDescent="0.2">
      <c r="A14" s="1" t="s">
        <v>20</v>
      </c>
      <c r="B14" s="1" t="s">
        <v>3</v>
      </c>
      <c r="C14" s="1" t="s">
        <v>6</v>
      </c>
      <c r="D14" s="1" t="s">
        <v>78</v>
      </c>
      <c r="E14" s="2">
        <v>42143</v>
      </c>
      <c r="F14" s="2">
        <v>42151</v>
      </c>
      <c r="G14" s="4">
        <v>9.5500000000000007</v>
      </c>
      <c r="H14" s="4">
        <v>6.681</v>
      </c>
      <c r="I14" s="15"/>
    </row>
    <row r="15" spans="1:11" x14ac:dyDescent="0.2">
      <c r="A15" s="1" t="s">
        <v>20</v>
      </c>
      <c r="B15" s="1" t="s">
        <v>3</v>
      </c>
      <c r="C15" s="1">
        <v>16</v>
      </c>
      <c r="D15" s="1" t="s">
        <v>78</v>
      </c>
      <c r="E15" s="2">
        <v>42143</v>
      </c>
      <c r="F15" s="2">
        <v>42151</v>
      </c>
      <c r="G15" s="4">
        <v>5.7809999999999997</v>
      </c>
      <c r="H15" s="4">
        <v>3.024</v>
      </c>
      <c r="I15" s="15"/>
    </row>
    <row r="16" spans="1:11" x14ac:dyDescent="0.2">
      <c r="A16" s="1" t="s">
        <v>20</v>
      </c>
      <c r="B16" s="1" t="s">
        <v>3</v>
      </c>
      <c r="C16" s="1" t="s">
        <v>8</v>
      </c>
      <c r="D16" s="1" t="s">
        <v>79</v>
      </c>
      <c r="E16" s="2">
        <v>42143</v>
      </c>
      <c r="F16" s="2">
        <v>42151</v>
      </c>
      <c r="G16" s="4">
        <v>16.34</v>
      </c>
      <c r="H16" s="4">
        <v>10.292999999999999</v>
      </c>
      <c r="I16" s="15"/>
    </row>
    <row r="17" spans="1:11" x14ac:dyDescent="0.2">
      <c r="A17" s="1" t="s">
        <v>20</v>
      </c>
      <c r="B17" s="1" t="s">
        <v>199</v>
      </c>
      <c r="C17" s="1">
        <v>37</v>
      </c>
      <c r="D17" s="1" t="s">
        <v>92</v>
      </c>
      <c r="E17" s="2">
        <v>42207</v>
      </c>
      <c r="F17" s="2">
        <v>42207</v>
      </c>
      <c r="G17" s="1">
        <f>6.527+8.336</f>
        <v>14.863</v>
      </c>
      <c r="H17" s="1">
        <v>9.2460000000000004</v>
      </c>
      <c r="I17" s="15">
        <f>AVERAGE(6.81,11.19,10.5)</f>
        <v>9.5</v>
      </c>
    </row>
    <row r="18" spans="1:11" x14ac:dyDescent="0.2">
      <c r="A18" s="1" t="s">
        <v>20</v>
      </c>
      <c r="B18" s="1" t="s">
        <v>199</v>
      </c>
      <c r="C18" s="1">
        <v>71</v>
      </c>
      <c r="D18" s="1" t="s">
        <v>202</v>
      </c>
      <c r="E18" s="2">
        <v>42207</v>
      </c>
      <c r="F18" s="2">
        <v>42207</v>
      </c>
      <c r="G18" s="1">
        <v>7.516</v>
      </c>
      <c r="H18" s="1">
        <v>3.5979999999999999</v>
      </c>
      <c r="I18" s="15">
        <f>AVERAGE(7.24,7.24,8.78)</f>
        <v>7.753333333333333</v>
      </c>
    </row>
    <row r="19" spans="1:11" x14ac:dyDescent="0.2">
      <c r="A19" s="1" t="s">
        <v>20</v>
      </c>
      <c r="B19" s="1" t="s">
        <v>153</v>
      </c>
      <c r="C19" s="1">
        <v>10</v>
      </c>
      <c r="D19" s="1" t="s">
        <v>73</v>
      </c>
      <c r="E19" s="2">
        <v>42172</v>
      </c>
      <c r="F19" s="2">
        <v>42172</v>
      </c>
      <c r="G19" s="1">
        <f>21.133+19.225</f>
        <v>40.358000000000004</v>
      </c>
      <c r="H19" s="1">
        <v>20.545999999999999</v>
      </c>
      <c r="I19" s="15">
        <f>AVERAGE(13.63,12.85,13.86)</f>
        <v>13.446666666666667</v>
      </c>
    </row>
    <row r="20" spans="1:11" x14ac:dyDescent="0.2">
      <c r="A20" s="1" t="s">
        <v>20</v>
      </c>
      <c r="B20" s="1" t="s">
        <v>153</v>
      </c>
      <c r="C20" s="1">
        <v>56</v>
      </c>
      <c r="D20" s="1" t="s">
        <v>87</v>
      </c>
      <c r="E20" s="2">
        <v>42172</v>
      </c>
      <c r="F20" s="2">
        <v>42172</v>
      </c>
      <c r="G20" s="1">
        <f>14.524+17.008</f>
        <v>31.531999999999996</v>
      </c>
      <c r="H20" s="1">
        <v>13.381</v>
      </c>
      <c r="I20" s="15">
        <f>AVERAGE(11.71,12.7,12.72)</f>
        <v>12.376666666666667</v>
      </c>
    </row>
    <row r="21" spans="1:11" x14ac:dyDescent="0.2">
      <c r="A21" s="1" t="s">
        <v>20</v>
      </c>
      <c r="B21" s="1" t="s">
        <v>10</v>
      </c>
      <c r="C21" s="1">
        <v>2</v>
      </c>
      <c r="D21" s="1" t="s">
        <v>82</v>
      </c>
      <c r="E21" s="2">
        <v>42145</v>
      </c>
      <c r="F21" s="2">
        <v>42151</v>
      </c>
      <c r="G21" s="4">
        <v>7.4509999999999996</v>
      </c>
      <c r="H21" s="4">
        <v>4.0629999999999997</v>
      </c>
      <c r="I21" s="15"/>
    </row>
    <row r="22" spans="1:11" x14ac:dyDescent="0.2">
      <c r="A22" s="1" t="s">
        <v>20</v>
      </c>
      <c r="B22" s="1" t="s">
        <v>10</v>
      </c>
      <c r="C22" s="1">
        <v>5</v>
      </c>
      <c r="D22" s="1" t="s">
        <v>81</v>
      </c>
      <c r="E22" s="2">
        <v>42145</v>
      </c>
      <c r="F22" s="2">
        <v>42151</v>
      </c>
      <c r="G22" s="4">
        <v>6.4560000000000004</v>
      </c>
      <c r="H22" s="4">
        <v>3.6509999999999998</v>
      </c>
      <c r="I22" s="15"/>
    </row>
    <row r="23" spans="1:11" x14ac:dyDescent="0.2">
      <c r="A23" s="1" t="s">
        <v>20</v>
      </c>
      <c r="B23" s="1" t="s">
        <v>10</v>
      </c>
      <c r="C23" s="1">
        <v>18</v>
      </c>
      <c r="D23" s="1" t="s">
        <v>54</v>
      </c>
      <c r="E23" s="2">
        <v>42145</v>
      </c>
      <c r="F23" s="2">
        <v>42151</v>
      </c>
      <c r="G23" s="4">
        <v>1.4359999999999999</v>
      </c>
      <c r="H23" s="4">
        <v>8.859</v>
      </c>
      <c r="I23" s="15"/>
      <c r="J23" s="1" t="s">
        <v>40</v>
      </c>
      <c r="K23" s="1">
        <v>1</v>
      </c>
    </row>
    <row r="24" spans="1:11" x14ac:dyDescent="0.2">
      <c r="A24" s="1" t="s">
        <v>20</v>
      </c>
      <c r="B24" s="1" t="s">
        <v>10</v>
      </c>
      <c r="C24" s="1">
        <v>24</v>
      </c>
      <c r="D24" s="1" t="s">
        <v>54</v>
      </c>
      <c r="E24" s="2">
        <v>42145</v>
      </c>
      <c r="F24" s="2">
        <v>42151</v>
      </c>
      <c r="G24" s="4">
        <v>6.3639999999999999</v>
      </c>
      <c r="H24" s="4">
        <v>3.4329999999999998</v>
      </c>
      <c r="I24" s="15"/>
    </row>
    <row r="25" spans="1:11" x14ac:dyDescent="0.2">
      <c r="A25" s="1" t="s">
        <v>20</v>
      </c>
      <c r="B25" s="1" t="s">
        <v>10</v>
      </c>
      <c r="C25" s="1">
        <v>26</v>
      </c>
      <c r="D25" s="1" t="s">
        <v>78</v>
      </c>
      <c r="E25" s="2">
        <v>42145</v>
      </c>
      <c r="F25" s="2">
        <v>42151</v>
      </c>
      <c r="G25" s="4">
        <v>4.9749999999999996</v>
      </c>
      <c r="H25" s="4">
        <v>2.641</v>
      </c>
      <c r="I25" s="15"/>
    </row>
    <row r="26" spans="1:11" x14ac:dyDescent="0.2">
      <c r="A26" s="1" t="s">
        <v>20</v>
      </c>
      <c r="B26" s="1" t="s">
        <v>10</v>
      </c>
      <c r="C26" s="1">
        <v>32</v>
      </c>
      <c r="D26" s="1" t="s">
        <v>83</v>
      </c>
      <c r="E26" s="2">
        <v>42145</v>
      </c>
      <c r="F26" s="2">
        <v>42151</v>
      </c>
      <c r="G26" s="4">
        <v>7.65</v>
      </c>
      <c r="H26" s="4">
        <v>5.74</v>
      </c>
      <c r="I26" s="15"/>
    </row>
    <row r="27" spans="1:11" x14ac:dyDescent="0.2">
      <c r="A27" s="1" t="s">
        <v>20</v>
      </c>
      <c r="B27" s="1" t="s">
        <v>10</v>
      </c>
      <c r="C27" s="1" t="s">
        <v>11</v>
      </c>
      <c r="D27" s="1" t="s">
        <v>75</v>
      </c>
      <c r="E27" s="2">
        <v>42145</v>
      </c>
      <c r="F27" s="2">
        <v>42151</v>
      </c>
      <c r="G27" s="4">
        <v>4.4450000000000003</v>
      </c>
      <c r="H27" s="4">
        <v>3.1360000000000001</v>
      </c>
      <c r="I27" s="15"/>
      <c r="J27" s="1" t="s">
        <v>12</v>
      </c>
    </row>
    <row r="28" spans="1:11" x14ac:dyDescent="0.2">
      <c r="A28" s="1" t="s">
        <v>20</v>
      </c>
      <c r="B28" s="1" t="s">
        <v>34</v>
      </c>
      <c r="C28" s="1">
        <v>2</v>
      </c>
      <c r="D28" s="1" t="s">
        <v>99</v>
      </c>
      <c r="E28" s="2">
        <v>42152</v>
      </c>
      <c r="F28" s="2">
        <v>42152</v>
      </c>
      <c r="G28" s="4">
        <v>8.9149999999999991</v>
      </c>
      <c r="H28" s="4">
        <v>1.075</v>
      </c>
      <c r="I28" s="15"/>
    </row>
    <row r="29" spans="1:11" x14ac:dyDescent="0.2">
      <c r="A29" s="1" t="s">
        <v>20</v>
      </c>
      <c r="B29" s="1" t="s">
        <v>34</v>
      </c>
      <c r="C29" s="1">
        <v>5</v>
      </c>
      <c r="D29" s="1" t="s">
        <v>46</v>
      </c>
      <c r="E29" s="2">
        <v>42152</v>
      </c>
      <c r="F29" s="2">
        <v>42152</v>
      </c>
      <c r="G29" s="4">
        <v>22.895</v>
      </c>
      <c r="H29" s="4">
        <v>9.3130000000000006</v>
      </c>
      <c r="I29" s="15"/>
    </row>
    <row r="30" spans="1:11" x14ac:dyDescent="0.2">
      <c r="A30" s="1" t="s">
        <v>20</v>
      </c>
      <c r="B30" s="1" t="s">
        <v>34</v>
      </c>
      <c r="C30" s="1">
        <v>5</v>
      </c>
      <c r="D30" s="1" t="s">
        <v>46</v>
      </c>
      <c r="E30" s="2">
        <v>42152</v>
      </c>
      <c r="F30" s="2">
        <v>42152</v>
      </c>
      <c r="G30" s="4">
        <v>20.768999999999998</v>
      </c>
      <c r="H30" s="4">
        <v>16.224</v>
      </c>
      <c r="I30" s="15"/>
      <c r="J30" s="40" t="s">
        <v>350</v>
      </c>
      <c r="K30" s="1">
        <v>1</v>
      </c>
    </row>
    <row r="31" spans="1:11" x14ac:dyDescent="0.2">
      <c r="A31" s="1" t="s">
        <v>20</v>
      </c>
      <c r="B31" s="1" t="s">
        <v>34</v>
      </c>
      <c r="C31" s="1">
        <v>13</v>
      </c>
      <c r="D31" s="1" t="s">
        <v>98</v>
      </c>
      <c r="E31" s="2">
        <v>42152</v>
      </c>
      <c r="F31" s="2">
        <v>42152</v>
      </c>
      <c r="G31" s="4">
        <f>8.617+8.055</f>
        <v>16.672000000000001</v>
      </c>
      <c r="H31" s="4">
        <v>6.8490000000000002</v>
      </c>
      <c r="I31" s="15"/>
    </row>
    <row r="32" spans="1:11" x14ac:dyDescent="0.2">
      <c r="A32" s="1" t="s">
        <v>20</v>
      </c>
      <c r="B32" s="1" t="s">
        <v>34</v>
      </c>
      <c r="C32" s="1">
        <v>14</v>
      </c>
      <c r="D32" s="1" t="s">
        <v>43</v>
      </c>
      <c r="E32" s="2">
        <v>42152</v>
      </c>
      <c r="F32" s="2">
        <v>42152</v>
      </c>
      <c r="G32" s="4">
        <v>4.1900000000000004</v>
      </c>
      <c r="H32" s="4">
        <v>2.9390000000000001</v>
      </c>
      <c r="I32" s="15"/>
    </row>
    <row r="33" spans="1:9" x14ac:dyDescent="0.2">
      <c r="A33" s="1" t="s">
        <v>20</v>
      </c>
      <c r="B33" s="1" t="s">
        <v>34</v>
      </c>
      <c r="C33" s="1">
        <v>17</v>
      </c>
      <c r="D33" s="1" t="s">
        <v>83</v>
      </c>
      <c r="E33" s="2">
        <v>42152</v>
      </c>
      <c r="F33" s="2">
        <v>42152</v>
      </c>
      <c r="G33" s="4">
        <f>15.655+15.473</f>
        <v>31.128</v>
      </c>
      <c r="H33" s="4">
        <v>21.119</v>
      </c>
      <c r="I33" s="15"/>
    </row>
    <row r="34" spans="1:9" x14ac:dyDescent="0.2">
      <c r="A34" s="1" t="s">
        <v>20</v>
      </c>
      <c r="B34" s="1" t="s">
        <v>34</v>
      </c>
      <c r="C34" s="1">
        <v>22</v>
      </c>
      <c r="D34" s="1" t="s">
        <v>93</v>
      </c>
      <c r="E34" s="2">
        <v>42152</v>
      </c>
      <c r="F34" s="2">
        <v>42152</v>
      </c>
      <c r="G34" s="4">
        <v>10.115</v>
      </c>
      <c r="H34" s="4">
        <v>4.758</v>
      </c>
      <c r="I34" s="15"/>
    </row>
    <row r="35" spans="1:9" x14ac:dyDescent="0.2">
      <c r="A35" s="1" t="s">
        <v>20</v>
      </c>
      <c r="B35" s="1" t="s">
        <v>34</v>
      </c>
      <c r="C35" s="1">
        <v>25</v>
      </c>
      <c r="D35" s="1" t="s">
        <v>59</v>
      </c>
      <c r="E35" s="2">
        <v>42152</v>
      </c>
      <c r="F35" s="2">
        <v>42152</v>
      </c>
      <c r="G35" s="4">
        <v>34.954999999999998</v>
      </c>
      <c r="H35" s="4">
        <v>14.423</v>
      </c>
      <c r="I35" s="15"/>
    </row>
    <row r="36" spans="1:9" x14ac:dyDescent="0.2">
      <c r="A36" s="1" t="s">
        <v>20</v>
      </c>
      <c r="B36" s="1" t="s">
        <v>34</v>
      </c>
      <c r="C36" s="1">
        <v>27</v>
      </c>
      <c r="D36" s="1" t="s">
        <v>88</v>
      </c>
      <c r="E36" s="2">
        <v>42152</v>
      </c>
      <c r="F36" s="2">
        <v>42152</v>
      </c>
      <c r="G36" s="4">
        <v>28.773</v>
      </c>
      <c r="H36" s="4">
        <v>17.042000000000002</v>
      </c>
      <c r="I36" s="15"/>
    </row>
    <row r="37" spans="1:9" x14ac:dyDescent="0.2">
      <c r="A37" s="1" t="s">
        <v>20</v>
      </c>
      <c r="B37" s="1" t="s">
        <v>34</v>
      </c>
      <c r="C37" s="1">
        <v>37</v>
      </c>
      <c r="D37" s="1" t="s">
        <v>99</v>
      </c>
      <c r="E37" s="2">
        <v>42152</v>
      </c>
      <c r="F37" s="2">
        <v>42152</v>
      </c>
      <c r="G37" s="4">
        <v>11.377000000000001</v>
      </c>
      <c r="H37" s="4">
        <v>2.1789999999999998</v>
      </c>
      <c r="I37" s="15"/>
    </row>
    <row r="38" spans="1:9" x14ac:dyDescent="0.2">
      <c r="A38" s="1" t="s">
        <v>20</v>
      </c>
      <c r="B38" s="1" t="s">
        <v>34</v>
      </c>
      <c r="C38" s="1">
        <v>38</v>
      </c>
      <c r="D38" s="1" t="s">
        <v>73</v>
      </c>
      <c r="E38" s="2">
        <v>42152</v>
      </c>
      <c r="F38" s="2">
        <v>42152</v>
      </c>
      <c r="G38" s="4">
        <v>9.8469999999999995</v>
      </c>
      <c r="H38" s="4">
        <v>4.5910000000000002</v>
      </c>
      <c r="I38" s="15"/>
    </row>
    <row r="39" spans="1:9" x14ac:dyDescent="0.2">
      <c r="A39" s="1" t="s">
        <v>20</v>
      </c>
      <c r="B39" s="1" t="s">
        <v>34</v>
      </c>
      <c r="C39" s="1">
        <v>39</v>
      </c>
      <c r="D39" s="1" t="s">
        <v>101</v>
      </c>
      <c r="E39" s="2">
        <v>42152</v>
      </c>
      <c r="F39" s="2">
        <v>42152</v>
      </c>
      <c r="G39" s="4">
        <v>21.05</v>
      </c>
      <c r="H39" s="4">
        <v>9.1</v>
      </c>
      <c r="I39" s="15"/>
    </row>
    <row r="40" spans="1:9" x14ac:dyDescent="0.2">
      <c r="A40" s="1" t="s">
        <v>20</v>
      </c>
      <c r="B40" s="1" t="s">
        <v>34</v>
      </c>
      <c r="C40" s="1">
        <v>44</v>
      </c>
      <c r="D40" s="1" t="s">
        <v>71</v>
      </c>
      <c r="E40" s="2">
        <v>42152</v>
      </c>
      <c r="F40" s="2">
        <v>42152</v>
      </c>
      <c r="G40" s="4">
        <v>11.922000000000001</v>
      </c>
      <c r="H40" s="4">
        <v>3.9609999999999999</v>
      </c>
      <c r="I40" s="15"/>
    </row>
    <row r="41" spans="1:9" x14ac:dyDescent="0.2">
      <c r="A41" s="1" t="s">
        <v>20</v>
      </c>
      <c r="B41" s="1" t="s">
        <v>34</v>
      </c>
      <c r="C41" s="1">
        <v>56</v>
      </c>
      <c r="D41" s="1" t="s">
        <v>103</v>
      </c>
      <c r="E41" s="2">
        <v>42152</v>
      </c>
      <c r="F41" s="2">
        <v>42152</v>
      </c>
      <c r="G41" s="4">
        <v>7.4710000000000001</v>
      </c>
      <c r="H41" s="4">
        <v>4.3239999999999998</v>
      </c>
      <c r="I41" s="15"/>
    </row>
    <row r="42" spans="1:9" x14ac:dyDescent="0.2">
      <c r="A42" s="1" t="s">
        <v>20</v>
      </c>
      <c r="B42" s="1" t="s">
        <v>34</v>
      </c>
      <c r="C42" s="1">
        <v>57</v>
      </c>
      <c r="D42" s="1" t="s">
        <v>100</v>
      </c>
      <c r="E42" s="2">
        <v>42152</v>
      </c>
      <c r="F42" s="2">
        <v>42152</v>
      </c>
      <c r="G42" s="4">
        <f>28.965+26.675</f>
        <v>55.64</v>
      </c>
      <c r="H42" s="4">
        <v>15.595000000000001</v>
      </c>
      <c r="I42" s="15"/>
    </row>
    <row r="43" spans="1:9" x14ac:dyDescent="0.2">
      <c r="A43" s="1" t="s">
        <v>20</v>
      </c>
      <c r="B43" s="1" t="s">
        <v>34</v>
      </c>
      <c r="C43" s="1">
        <v>62</v>
      </c>
      <c r="D43" s="1" t="s">
        <v>104</v>
      </c>
      <c r="E43" s="2">
        <v>42152</v>
      </c>
      <c r="F43" s="2">
        <v>42152</v>
      </c>
      <c r="G43" s="4">
        <v>22.084</v>
      </c>
      <c r="H43" s="4">
        <v>11.6</v>
      </c>
      <c r="I43" s="15"/>
    </row>
    <row r="44" spans="1:9" x14ac:dyDescent="0.2">
      <c r="A44" s="1" t="s">
        <v>20</v>
      </c>
      <c r="B44" s="1" t="s">
        <v>34</v>
      </c>
      <c r="C44" s="1">
        <v>70</v>
      </c>
      <c r="D44" s="41" t="s">
        <v>351</v>
      </c>
      <c r="E44" s="2">
        <v>42152</v>
      </c>
      <c r="F44" s="2">
        <v>42152</v>
      </c>
      <c r="G44" s="4">
        <v>8.5350000000000001</v>
      </c>
      <c r="H44" s="4">
        <v>4.4809999999999999</v>
      </c>
      <c r="I44" s="15"/>
    </row>
    <row r="45" spans="1:9" x14ac:dyDescent="0.2">
      <c r="A45" s="1" t="s">
        <v>20</v>
      </c>
      <c r="B45" s="1" t="s">
        <v>34</v>
      </c>
      <c r="C45" s="1">
        <v>74</v>
      </c>
      <c r="D45" s="1" t="s">
        <v>92</v>
      </c>
      <c r="E45" s="2">
        <v>42152</v>
      </c>
      <c r="F45" s="2">
        <v>42152</v>
      </c>
      <c r="G45" s="4">
        <f>4.709+4.558</f>
        <v>9.2669999999999995</v>
      </c>
      <c r="H45" s="4">
        <v>5.641</v>
      </c>
      <c r="I45" s="15"/>
    </row>
    <row r="46" spans="1:9" x14ac:dyDescent="0.2">
      <c r="A46" s="1" t="s">
        <v>20</v>
      </c>
      <c r="B46" s="1" t="s">
        <v>34</v>
      </c>
      <c r="C46" s="1">
        <v>75</v>
      </c>
      <c r="D46" s="1" t="s">
        <v>99</v>
      </c>
      <c r="E46" s="2">
        <v>42152</v>
      </c>
      <c r="F46" s="2">
        <v>42152</v>
      </c>
      <c r="G46" s="4">
        <v>9.8049999999999997</v>
      </c>
      <c r="H46" s="4">
        <v>3.359</v>
      </c>
      <c r="I46" s="15"/>
    </row>
    <row r="47" spans="1:9" x14ac:dyDescent="0.2">
      <c r="A47" s="1" t="s">
        <v>20</v>
      </c>
      <c r="B47" s="1" t="s">
        <v>159</v>
      </c>
      <c r="C47" s="1">
        <v>13</v>
      </c>
      <c r="D47" s="1" t="s">
        <v>177</v>
      </c>
      <c r="E47" s="2">
        <v>42180</v>
      </c>
      <c r="F47" s="2">
        <v>42180</v>
      </c>
      <c r="G47" s="1">
        <f>7.543+7.78</f>
        <v>15.323</v>
      </c>
      <c r="H47" s="1">
        <v>5.2930000000000001</v>
      </c>
      <c r="I47" s="15">
        <f>AVERAGE(9.59,9.03,9.25)</f>
        <v>9.2899999999999991</v>
      </c>
    </row>
    <row r="48" spans="1:9" x14ac:dyDescent="0.2">
      <c r="A48" s="1" t="s">
        <v>20</v>
      </c>
      <c r="B48" s="1" t="s">
        <v>159</v>
      </c>
      <c r="C48" s="1">
        <v>19</v>
      </c>
      <c r="D48" s="1" t="s">
        <v>166</v>
      </c>
      <c r="E48" s="2">
        <v>42180</v>
      </c>
      <c r="F48" s="2">
        <v>42180</v>
      </c>
      <c r="G48" s="1">
        <f>11.07+13.129</f>
        <v>24.198999999999998</v>
      </c>
      <c r="H48" s="1">
        <v>12.61</v>
      </c>
      <c r="I48" s="15">
        <f>AVERAGE(10.94,11.35,11.14)</f>
        <v>11.143333333333333</v>
      </c>
    </row>
    <row r="49" spans="1:10" x14ac:dyDescent="0.2">
      <c r="A49" s="1" t="s">
        <v>20</v>
      </c>
      <c r="B49" s="1" t="s">
        <v>159</v>
      </c>
      <c r="C49" s="1">
        <v>21</v>
      </c>
      <c r="D49" s="1" t="s">
        <v>176</v>
      </c>
      <c r="E49" s="2">
        <v>42180</v>
      </c>
      <c r="F49" s="2">
        <v>42180</v>
      </c>
      <c r="G49" s="1">
        <v>33.500999999999998</v>
      </c>
      <c r="H49" s="1">
        <v>26.321000000000002</v>
      </c>
      <c r="I49" s="15">
        <f>AVERAGE(14.24,15.51,15.5)</f>
        <v>15.083333333333334</v>
      </c>
    </row>
    <row r="50" spans="1:10" x14ac:dyDescent="0.2">
      <c r="A50" s="1" t="s">
        <v>20</v>
      </c>
      <c r="B50" s="1" t="s">
        <v>159</v>
      </c>
      <c r="C50" s="1">
        <v>35</v>
      </c>
      <c r="D50" s="1" t="s">
        <v>176</v>
      </c>
      <c r="E50" s="2">
        <v>42180</v>
      </c>
      <c r="F50" s="2">
        <v>42180</v>
      </c>
      <c r="G50" s="1">
        <f>6.933+6.333</f>
        <v>13.266</v>
      </c>
      <c r="H50" s="1">
        <v>10.305999999999999</v>
      </c>
      <c r="I50" s="15">
        <f>AVERAGE(7.4,7.76,7.69)</f>
        <v>7.6166666666666671</v>
      </c>
    </row>
    <row r="51" spans="1:10" x14ac:dyDescent="0.2">
      <c r="A51" s="1" t="s">
        <v>20</v>
      </c>
      <c r="B51" s="1" t="s">
        <v>159</v>
      </c>
      <c r="C51" s="1">
        <v>41</v>
      </c>
      <c r="D51" s="1" t="s">
        <v>179</v>
      </c>
      <c r="E51" s="2">
        <v>42180</v>
      </c>
      <c r="F51" s="2">
        <v>42180</v>
      </c>
      <c r="G51" s="1">
        <f>8.433+10.077</f>
        <v>18.509999999999998</v>
      </c>
      <c r="H51" s="1">
        <v>13.321</v>
      </c>
      <c r="I51" s="15">
        <f>AVERAGE(9.95,9.9,10.27)</f>
        <v>10.040000000000001</v>
      </c>
    </row>
    <row r="52" spans="1:10" x14ac:dyDescent="0.2">
      <c r="A52" s="1" t="s">
        <v>20</v>
      </c>
      <c r="B52" s="1" t="s">
        <v>159</v>
      </c>
      <c r="C52" s="1">
        <v>46</v>
      </c>
      <c r="D52" s="1" t="s">
        <v>174</v>
      </c>
      <c r="E52" s="2">
        <v>42180</v>
      </c>
      <c r="F52" s="2">
        <v>42180</v>
      </c>
      <c r="G52" s="1">
        <v>22.628</v>
      </c>
      <c r="H52" s="1">
        <v>13.292999999999999</v>
      </c>
      <c r="I52" s="15">
        <f>AVERAGE(14.3,12.17,11.25)</f>
        <v>12.573333333333332</v>
      </c>
    </row>
    <row r="53" spans="1:10" x14ac:dyDescent="0.2">
      <c r="A53" s="1" t="s">
        <v>20</v>
      </c>
      <c r="B53" s="1" t="s">
        <v>159</v>
      </c>
      <c r="C53" s="1">
        <v>81</v>
      </c>
      <c r="D53" s="1" t="s">
        <v>175</v>
      </c>
      <c r="E53" s="2">
        <v>42180</v>
      </c>
      <c r="F53" s="2">
        <v>42180</v>
      </c>
      <c r="G53" s="1">
        <f>11.841+13.485</f>
        <v>25.326000000000001</v>
      </c>
      <c r="H53" s="1">
        <v>15.173999999999999</v>
      </c>
      <c r="I53" s="15">
        <f>AVERAGE(10.29,10.4,9.28)</f>
        <v>9.99</v>
      </c>
    </row>
    <row r="54" spans="1:10" x14ac:dyDescent="0.2">
      <c r="A54" s="1" t="s">
        <v>20</v>
      </c>
      <c r="B54" s="1" t="s">
        <v>159</v>
      </c>
      <c r="C54" s="1">
        <v>83</v>
      </c>
      <c r="D54" s="1" t="s">
        <v>178</v>
      </c>
      <c r="E54" s="2">
        <v>42180</v>
      </c>
      <c r="F54" s="2">
        <v>42180</v>
      </c>
      <c r="G54" s="1">
        <f>8.333+10.242</f>
        <v>18.575000000000003</v>
      </c>
      <c r="H54" s="1">
        <v>11.821999999999999</v>
      </c>
      <c r="I54" s="15">
        <f>AVERAGE(9.73,9.69,10.52)</f>
        <v>9.98</v>
      </c>
    </row>
    <row r="55" spans="1:10" x14ac:dyDescent="0.2">
      <c r="A55" s="1" t="s">
        <v>20</v>
      </c>
      <c r="B55" s="1" t="s">
        <v>111</v>
      </c>
      <c r="C55" s="1">
        <v>5</v>
      </c>
      <c r="D55" s="1" t="s">
        <v>131</v>
      </c>
      <c r="E55" s="2">
        <v>42165</v>
      </c>
      <c r="F55" s="2">
        <v>42165</v>
      </c>
      <c r="G55" s="1">
        <f>11.662+11.869</f>
        <v>23.530999999999999</v>
      </c>
      <c r="H55" s="1">
        <v>7.8140000000000001</v>
      </c>
      <c r="I55" s="15"/>
    </row>
    <row r="56" spans="1:10" x14ac:dyDescent="0.2">
      <c r="A56" s="1" t="s">
        <v>20</v>
      </c>
      <c r="B56" s="1" t="s">
        <v>111</v>
      </c>
      <c r="C56" s="1">
        <v>7</v>
      </c>
      <c r="D56" s="1" t="s">
        <v>132</v>
      </c>
      <c r="E56" s="2">
        <v>42165</v>
      </c>
      <c r="F56" s="2">
        <v>42165</v>
      </c>
      <c r="G56" s="1">
        <v>7.4020000000000001</v>
      </c>
      <c r="H56" s="1">
        <v>3.3660000000000001</v>
      </c>
      <c r="I56" s="15"/>
    </row>
    <row r="57" spans="1:10" x14ac:dyDescent="0.2">
      <c r="A57" s="1" t="s">
        <v>20</v>
      </c>
      <c r="B57" s="1" t="s">
        <v>111</v>
      </c>
      <c r="C57" s="1">
        <v>9</v>
      </c>
      <c r="D57" s="1" t="s">
        <v>291</v>
      </c>
      <c r="E57" s="2">
        <v>42165</v>
      </c>
      <c r="F57" s="2">
        <v>42165</v>
      </c>
      <c r="G57" s="1">
        <f>9.721+11.425</f>
        <v>21.146000000000001</v>
      </c>
      <c r="H57" s="1">
        <v>8.41</v>
      </c>
      <c r="I57" s="15"/>
    </row>
    <row r="58" spans="1:10" x14ac:dyDescent="0.2">
      <c r="A58" s="1" t="s">
        <v>20</v>
      </c>
      <c r="B58" s="1" t="s">
        <v>111</v>
      </c>
      <c r="C58" s="1">
        <v>40</v>
      </c>
      <c r="D58" s="1" t="s">
        <v>131</v>
      </c>
      <c r="E58" s="2">
        <v>42165</v>
      </c>
      <c r="F58" s="2">
        <v>42165</v>
      </c>
      <c r="G58" s="1">
        <v>15.662000000000001</v>
      </c>
      <c r="H58" s="1">
        <v>6.5380000000000003</v>
      </c>
      <c r="I58" s="15"/>
    </row>
    <row r="59" spans="1:10" x14ac:dyDescent="0.2">
      <c r="A59" s="1" t="s">
        <v>20</v>
      </c>
      <c r="B59" s="1" t="s">
        <v>111</v>
      </c>
      <c r="C59" s="1">
        <v>58</v>
      </c>
      <c r="D59" s="1" t="s">
        <v>133</v>
      </c>
      <c r="E59" s="2">
        <v>42165</v>
      </c>
      <c r="F59" s="2">
        <v>42165</v>
      </c>
      <c r="G59" s="1">
        <f>5.733+6.629</f>
        <v>12.361999999999998</v>
      </c>
      <c r="H59" s="1">
        <v>6.9429999999999996</v>
      </c>
      <c r="I59" s="15"/>
    </row>
    <row r="60" spans="1:10" x14ac:dyDescent="0.2">
      <c r="A60" s="1" t="s">
        <v>20</v>
      </c>
      <c r="B60" s="1" t="s">
        <v>111</v>
      </c>
      <c r="C60" s="1">
        <v>81</v>
      </c>
      <c r="D60" s="1" t="s">
        <v>68</v>
      </c>
      <c r="E60" s="2">
        <v>42165</v>
      </c>
      <c r="F60" s="2">
        <v>42165</v>
      </c>
      <c r="G60" s="1">
        <f>8.317+9.34</f>
        <v>17.657</v>
      </c>
      <c r="H60" s="1">
        <v>11.795</v>
      </c>
      <c r="I60" s="15"/>
    </row>
    <row r="61" spans="1:10" x14ac:dyDescent="0.2">
      <c r="A61" s="1" t="s">
        <v>20</v>
      </c>
      <c r="B61" s="1" t="s">
        <v>111</v>
      </c>
      <c r="C61" s="1" t="s">
        <v>114</v>
      </c>
      <c r="D61" s="1" t="s">
        <v>134</v>
      </c>
      <c r="E61" s="2">
        <v>42165</v>
      </c>
      <c r="F61" s="2">
        <v>42165</v>
      </c>
      <c r="G61" s="1">
        <f>7.633+8.507</f>
        <v>16.14</v>
      </c>
      <c r="H61" s="1">
        <v>8.1980000000000004</v>
      </c>
      <c r="I61" s="15"/>
    </row>
    <row r="62" spans="1:10" x14ac:dyDescent="0.2">
      <c r="A62" s="1" t="s">
        <v>20</v>
      </c>
      <c r="B62" s="1" t="s">
        <v>139</v>
      </c>
      <c r="C62" s="1">
        <v>4</v>
      </c>
      <c r="D62" s="1" t="s">
        <v>145</v>
      </c>
      <c r="E62" s="2">
        <v>42166</v>
      </c>
      <c r="F62" s="2">
        <v>42166</v>
      </c>
      <c r="G62" s="1">
        <v>14.242000000000001</v>
      </c>
      <c r="H62" s="1">
        <v>7.0650000000000004</v>
      </c>
      <c r="I62" s="15"/>
    </row>
    <row r="63" spans="1:10" x14ac:dyDescent="0.2">
      <c r="A63" s="1" t="s">
        <v>20</v>
      </c>
      <c r="B63" s="1" t="s">
        <v>139</v>
      </c>
      <c r="C63" s="1">
        <v>23</v>
      </c>
      <c r="D63" s="1" t="s">
        <v>143</v>
      </c>
      <c r="E63" s="2">
        <v>42166</v>
      </c>
      <c r="F63" s="2">
        <v>42166</v>
      </c>
      <c r="G63" s="1">
        <v>18.151</v>
      </c>
      <c r="H63" s="1">
        <v>7.8550000000000004</v>
      </c>
      <c r="I63" s="15"/>
    </row>
    <row r="64" spans="1:10" x14ac:dyDescent="0.2">
      <c r="A64" s="1" t="s">
        <v>20</v>
      </c>
      <c r="B64" s="1" t="s">
        <v>139</v>
      </c>
      <c r="C64" s="1">
        <v>38</v>
      </c>
      <c r="D64" s="1" t="s">
        <v>69</v>
      </c>
      <c r="E64" s="2">
        <v>42166</v>
      </c>
      <c r="F64" s="2">
        <v>42166</v>
      </c>
      <c r="G64" s="1">
        <v>21.239000000000001</v>
      </c>
      <c r="H64" s="1">
        <v>11.773</v>
      </c>
      <c r="I64" s="15"/>
      <c r="J64" s="1" t="s">
        <v>147</v>
      </c>
    </row>
    <row r="65" spans="1:10" x14ac:dyDescent="0.2">
      <c r="A65" s="1" t="s">
        <v>20</v>
      </c>
      <c r="B65" s="1" t="s">
        <v>139</v>
      </c>
      <c r="C65" s="1">
        <v>38</v>
      </c>
      <c r="D65" s="1" t="s">
        <v>69</v>
      </c>
      <c r="E65" s="2">
        <v>42166</v>
      </c>
      <c r="F65" s="2">
        <v>42166</v>
      </c>
      <c r="G65" s="1">
        <f>12.544+11.652</f>
        <v>24.195999999999998</v>
      </c>
      <c r="H65" s="1">
        <v>10.598000000000001</v>
      </c>
      <c r="I65" s="15"/>
      <c r="J65" s="1" t="s">
        <v>147</v>
      </c>
    </row>
    <row r="66" spans="1:10" x14ac:dyDescent="0.2">
      <c r="A66" s="1" t="s">
        <v>20</v>
      </c>
      <c r="B66" s="1" t="s">
        <v>139</v>
      </c>
      <c r="C66" s="1">
        <v>45</v>
      </c>
      <c r="D66" s="1" t="s">
        <v>144</v>
      </c>
      <c r="E66" s="2">
        <v>42166</v>
      </c>
      <c r="F66" s="2">
        <v>42166</v>
      </c>
      <c r="G66" s="1">
        <f>8.085+6.682</f>
        <v>14.767000000000001</v>
      </c>
      <c r="H66" s="1">
        <v>7.8869999999999996</v>
      </c>
      <c r="I66" s="15"/>
    </row>
    <row r="67" spans="1:10" x14ac:dyDescent="0.2">
      <c r="A67" s="1" t="s">
        <v>20</v>
      </c>
      <c r="B67" s="1" t="s">
        <v>139</v>
      </c>
      <c r="C67" s="1">
        <v>46</v>
      </c>
      <c r="D67" s="1" t="s">
        <v>146</v>
      </c>
      <c r="E67" s="2">
        <v>42166</v>
      </c>
      <c r="F67" s="2">
        <v>42166</v>
      </c>
      <c r="G67" s="1">
        <f>4.038+3.388+5.044</f>
        <v>12.469999999999999</v>
      </c>
      <c r="H67" s="1">
        <v>5.282</v>
      </c>
      <c r="I67" s="15"/>
    </row>
    <row r="68" spans="1:10" x14ac:dyDescent="0.2">
      <c r="A68" s="1" t="s">
        <v>20</v>
      </c>
      <c r="B68" s="1" t="s">
        <v>139</v>
      </c>
      <c r="C68" s="1">
        <v>85</v>
      </c>
      <c r="D68" s="1" t="s">
        <v>59</v>
      </c>
      <c r="E68" s="2">
        <v>42166</v>
      </c>
      <c r="F68" s="2">
        <v>42166</v>
      </c>
      <c r="G68" s="1">
        <f>9.634+9.643</f>
        <v>19.277000000000001</v>
      </c>
      <c r="H68" s="1">
        <v>7.8840000000000003</v>
      </c>
      <c r="I68" s="15"/>
    </row>
    <row r="69" spans="1:10" x14ac:dyDescent="0.2">
      <c r="A69" s="1" t="s">
        <v>20</v>
      </c>
      <c r="B69" s="1" t="s">
        <v>139</v>
      </c>
      <c r="C69" s="1" t="s">
        <v>119</v>
      </c>
      <c r="D69" s="1" t="s">
        <v>119</v>
      </c>
      <c r="E69" s="2">
        <v>42166</v>
      </c>
      <c r="F69" s="2">
        <v>42166</v>
      </c>
      <c r="G69" s="1">
        <v>24.963000000000001</v>
      </c>
      <c r="H69" s="1">
        <v>13.811</v>
      </c>
      <c r="I69" s="15"/>
    </row>
    <row r="70" spans="1:10" x14ac:dyDescent="0.2">
      <c r="A70" s="1" t="s">
        <v>20</v>
      </c>
      <c r="B70" s="1" t="s">
        <v>139</v>
      </c>
      <c r="C70" s="1" t="s">
        <v>50</v>
      </c>
      <c r="D70" s="1" t="s">
        <v>50</v>
      </c>
      <c r="E70" s="2">
        <v>42166</v>
      </c>
      <c r="F70" s="2">
        <v>42166</v>
      </c>
      <c r="G70" s="1">
        <f>12.429+4.672+10.316+7.002+8.874+9.407+8.864+6.191</f>
        <v>67.75500000000001</v>
      </c>
      <c r="H70" s="1">
        <v>27.475999999999999</v>
      </c>
      <c r="I70" s="15"/>
    </row>
    <row r="71" spans="1:10" x14ac:dyDescent="0.2">
      <c r="A71" s="1" t="s">
        <v>20</v>
      </c>
      <c r="B71" s="1" t="s">
        <v>139</v>
      </c>
      <c r="C71" s="1" t="s">
        <v>140</v>
      </c>
      <c r="D71" s="1" t="s">
        <v>152</v>
      </c>
      <c r="E71" s="2">
        <v>42166</v>
      </c>
      <c r="F71" s="2">
        <v>42166</v>
      </c>
      <c r="G71" s="1">
        <f>16.663+16.952</f>
        <v>33.615000000000002</v>
      </c>
      <c r="H71" s="1">
        <v>17.273</v>
      </c>
      <c r="I71" s="15"/>
    </row>
    <row r="72" spans="1:10" x14ac:dyDescent="0.2">
      <c r="A72" s="1" t="s">
        <v>20</v>
      </c>
      <c r="B72" s="1" t="s">
        <v>139</v>
      </c>
      <c r="C72" s="1" t="s">
        <v>42</v>
      </c>
      <c r="D72" s="6" t="s">
        <v>149</v>
      </c>
      <c r="E72" s="2">
        <v>42166</v>
      </c>
      <c r="F72" s="2">
        <v>42166</v>
      </c>
      <c r="G72" s="1">
        <f>5.726+4.408</f>
        <v>10.134</v>
      </c>
      <c r="H72" s="1">
        <v>3.9020000000000001</v>
      </c>
      <c r="I72" s="15"/>
      <c r="J72" s="1" t="s">
        <v>150</v>
      </c>
    </row>
    <row r="73" spans="1:10" x14ac:dyDescent="0.2">
      <c r="A73" s="1" t="s">
        <v>20</v>
      </c>
      <c r="B73" s="1" t="s">
        <v>139</v>
      </c>
      <c r="C73" s="1" t="s">
        <v>141</v>
      </c>
      <c r="D73" s="1" t="s">
        <v>142</v>
      </c>
      <c r="E73" s="2">
        <v>42166</v>
      </c>
      <c r="F73" s="2">
        <v>42166</v>
      </c>
      <c r="G73" s="1">
        <f>6.802+5.89+5.962+5.098</f>
        <v>23.751999999999999</v>
      </c>
      <c r="H73" s="1">
        <v>11.835000000000001</v>
      </c>
      <c r="I73" s="15"/>
      <c r="J73" s="1" t="s">
        <v>147</v>
      </c>
    </row>
    <row r="74" spans="1:10" x14ac:dyDescent="0.2">
      <c r="A74" s="1" t="s">
        <v>20</v>
      </c>
      <c r="B74" s="1" t="s">
        <v>139</v>
      </c>
      <c r="C74" s="1" t="s">
        <v>6</v>
      </c>
      <c r="D74" s="1" t="s">
        <v>78</v>
      </c>
      <c r="E74" s="2">
        <v>42166</v>
      </c>
      <c r="F74" s="2">
        <v>42166</v>
      </c>
      <c r="G74" s="1">
        <v>33.241999999999997</v>
      </c>
      <c r="H74" s="1">
        <v>22.975000000000001</v>
      </c>
      <c r="I74" s="15"/>
    </row>
    <row r="75" spans="1:10" x14ac:dyDescent="0.2">
      <c r="A75" s="1" t="s">
        <v>20</v>
      </c>
      <c r="B75" s="1" t="s">
        <v>200</v>
      </c>
      <c r="C75" s="1">
        <v>65</v>
      </c>
      <c r="D75" s="1" t="s">
        <v>202</v>
      </c>
      <c r="E75" s="2">
        <v>42208</v>
      </c>
      <c r="F75" s="2">
        <v>42208</v>
      </c>
      <c r="G75" s="1">
        <v>13.622999999999999</v>
      </c>
      <c r="H75" s="1">
        <v>5.3419999999999996</v>
      </c>
      <c r="I75" s="15">
        <f>AVERAGE(10.05,10,10.3)</f>
        <v>10.116666666666667</v>
      </c>
    </row>
    <row r="76" spans="1:10" x14ac:dyDescent="0.2">
      <c r="A76" s="1" t="s">
        <v>20</v>
      </c>
      <c r="B76" s="1" t="s">
        <v>200</v>
      </c>
      <c r="C76" s="1">
        <v>70</v>
      </c>
      <c r="D76" s="1" t="s">
        <v>203</v>
      </c>
      <c r="E76" s="2">
        <v>42208</v>
      </c>
      <c r="F76" s="2">
        <v>42208</v>
      </c>
      <c r="G76" s="1">
        <v>12.849</v>
      </c>
      <c r="H76" s="1">
        <v>3.9020000000000001</v>
      </c>
      <c r="I76" s="15">
        <f>AVERAGE(9.36,9.6,9.46)</f>
        <v>9.4733333333333345</v>
      </c>
    </row>
    <row r="77" spans="1:10" x14ac:dyDescent="0.2">
      <c r="A77" s="1" t="s">
        <v>20</v>
      </c>
      <c r="B77" s="1" t="s">
        <v>33</v>
      </c>
      <c r="C77" s="1">
        <v>2</v>
      </c>
      <c r="D77" s="1" t="s">
        <v>78</v>
      </c>
      <c r="E77" s="2">
        <v>42151</v>
      </c>
      <c r="F77" s="2">
        <v>42151</v>
      </c>
      <c r="G77" s="4">
        <v>8.0440000000000005</v>
      </c>
      <c r="H77" s="4">
        <v>6.0540000000000003</v>
      </c>
      <c r="I77" s="15"/>
    </row>
    <row r="78" spans="1:10" x14ac:dyDescent="0.2">
      <c r="A78" s="1" t="s">
        <v>20</v>
      </c>
      <c r="B78" s="1" t="s">
        <v>33</v>
      </c>
      <c r="C78" s="1">
        <v>4</v>
      </c>
      <c r="D78" s="1" t="s">
        <v>93</v>
      </c>
      <c r="E78" s="2">
        <v>42151</v>
      </c>
      <c r="F78" s="2">
        <v>42151</v>
      </c>
      <c r="G78" s="4">
        <v>7.399</v>
      </c>
      <c r="H78" s="4">
        <v>4.1950000000000003</v>
      </c>
      <c r="I78" s="15"/>
    </row>
    <row r="79" spans="1:10" x14ac:dyDescent="0.2">
      <c r="A79" s="1" t="s">
        <v>20</v>
      </c>
      <c r="B79" s="1" t="s">
        <v>33</v>
      </c>
      <c r="C79" s="1">
        <v>7</v>
      </c>
      <c r="D79" s="1" t="s">
        <v>76</v>
      </c>
      <c r="E79" s="2">
        <v>42151</v>
      </c>
      <c r="F79" s="2">
        <v>42151</v>
      </c>
      <c r="G79" s="4">
        <v>15.996</v>
      </c>
      <c r="H79" s="4">
        <v>12.561999999999999</v>
      </c>
      <c r="I79" s="15"/>
    </row>
    <row r="80" spans="1:10" x14ac:dyDescent="0.2">
      <c r="A80" s="1" t="s">
        <v>20</v>
      </c>
      <c r="B80" s="1" t="s">
        <v>33</v>
      </c>
      <c r="C80" s="1">
        <v>19</v>
      </c>
      <c r="D80" s="1" t="s">
        <v>78</v>
      </c>
      <c r="E80" s="2">
        <v>42151</v>
      </c>
      <c r="F80" s="2">
        <v>42151</v>
      </c>
      <c r="G80" s="4">
        <v>13.526</v>
      </c>
      <c r="H80" s="4">
        <v>9.1869999999999994</v>
      </c>
      <c r="I80" s="15"/>
    </row>
    <row r="81" spans="1:9" x14ac:dyDescent="0.2">
      <c r="A81" s="1" t="s">
        <v>20</v>
      </c>
      <c r="B81" s="1" t="s">
        <v>33</v>
      </c>
      <c r="C81" s="1">
        <v>20</v>
      </c>
      <c r="D81" s="1" t="s">
        <v>51</v>
      </c>
      <c r="E81" s="2">
        <v>42151</v>
      </c>
      <c r="F81" s="2">
        <v>42151</v>
      </c>
      <c r="G81" s="4">
        <v>5.585</v>
      </c>
      <c r="H81" s="4">
        <v>2.29</v>
      </c>
      <c r="I81" s="15"/>
    </row>
    <row r="82" spans="1:9" x14ac:dyDescent="0.2">
      <c r="A82" s="1" t="s">
        <v>20</v>
      </c>
      <c r="B82" s="1" t="s">
        <v>33</v>
      </c>
      <c r="C82" s="1">
        <v>21</v>
      </c>
      <c r="D82" s="1" t="s">
        <v>78</v>
      </c>
      <c r="E82" s="2">
        <v>42151</v>
      </c>
      <c r="F82" s="2">
        <v>42151</v>
      </c>
      <c r="G82" s="4">
        <v>5.3410000000000002</v>
      </c>
      <c r="H82" s="4">
        <v>3.617</v>
      </c>
      <c r="I82" s="15"/>
    </row>
    <row r="83" spans="1:9" x14ac:dyDescent="0.2">
      <c r="A83" s="1" t="s">
        <v>20</v>
      </c>
      <c r="B83" s="1" t="s">
        <v>33</v>
      </c>
      <c r="C83" s="1">
        <v>25</v>
      </c>
      <c r="D83" s="1" t="s">
        <v>85</v>
      </c>
      <c r="E83" s="2">
        <v>42151</v>
      </c>
      <c r="F83" s="2">
        <v>42151</v>
      </c>
      <c r="G83" s="4">
        <f>16.911+12.979</f>
        <v>29.89</v>
      </c>
      <c r="H83" s="4">
        <v>13.756</v>
      </c>
      <c r="I83" s="15"/>
    </row>
    <row r="84" spans="1:9" x14ac:dyDescent="0.2">
      <c r="A84" s="1" t="s">
        <v>20</v>
      </c>
      <c r="B84" s="1" t="s">
        <v>33</v>
      </c>
      <c r="C84" s="1">
        <v>29</v>
      </c>
      <c r="D84" s="1" t="s">
        <v>51</v>
      </c>
      <c r="E84" s="2">
        <v>42151</v>
      </c>
      <c r="F84" s="2">
        <v>42151</v>
      </c>
      <c r="G84" s="4">
        <v>31.422000000000001</v>
      </c>
      <c r="H84" s="4">
        <v>18.7</v>
      </c>
      <c r="I84" s="15"/>
    </row>
    <row r="85" spans="1:9" x14ac:dyDescent="0.2">
      <c r="A85" s="1" t="s">
        <v>20</v>
      </c>
      <c r="B85" s="1" t="s">
        <v>33</v>
      </c>
      <c r="C85" s="1">
        <v>33</v>
      </c>
      <c r="D85" s="1" t="s">
        <v>96</v>
      </c>
      <c r="E85" s="2">
        <v>42151</v>
      </c>
      <c r="F85" s="2">
        <v>42151</v>
      </c>
      <c r="G85" s="4">
        <f>10.202+10.088</f>
        <v>20.29</v>
      </c>
      <c r="H85" s="4">
        <v>12.711</v>
      </c>
      <c r="I85" s="15"/>
    </row>
    <row r="86" spans="1:9" x14ac:dyDescent="0.2">
      <c r="A86" s="1" t="s">
        <v>20</v>
      </c>
      <c r="B86" s="1" t="s">
        <v>33</v>
      </c>
      <c r="C86" s="1">
        <v>39</v>
      </c>
      <c r="D86" s="1" t="s">
        <v>78</v>
      </c>
      <c r="E86" s="2">
        <v>42151</v>
      </c>
      <c r="F86" s="2">
        <v>42151</v>
      </c>
      <c r="G86" s="4">
        <v>6.2750000000000004</v>
      </c>
      <c r="H86" s="4">
        <v>4.5410000000000004</v>
      </c>
      <c r="I86" s="15"/>
    </row>
    <row r="87" spans="1:9" x14ac:dyDescent="0.2">
      <c r="A87" s="1" t="s">
        <v>20</v>
      </c>
      <c r="B87" s="1" t="s">
        <v>33</v>
      </c>
      <c r="C87" s="1">
        <v>54</v>
      </c>
      <c r="D87" s="1" t="s">
        <v>92</v>
      </c>
      <c r="E87" s="2">
        <v>42151</v>
      </c>
      <c r="F87" s="2">
        <v>42151</v>
      </c>
      <c r="G87" s="4">
        <v>5.0359999999999996</v>
      </c>
      <c r="H87" s="4">
        <v>3.242</v>
      </c>
      <c r="I87" s="15"/>
    </row>
    <row r="88" spans="1:9" x14ac:dyDescent="0.2">
      <c r="A88" s="1" t="s">
        <v>20</v>
      </c>
      <c r="B88" s="1" t="s">
        <v>33</v>
      </c>
      <c r="C88" s="1">
        <v>92</v>
      </c>
      <c r="D88" s="1" t="s">
        <v>91</v>
      </c>
      <c r="E88" s="2">
        <v>42151</v>
      </c>
      <c r="F88" s="2">
        <v>42151</v>
      </c>
      <c r="G88" s="4">
        <v>22.547000000000001</v>
      </c>
      <c r="H88" s="4">
        <v>9.173</v>
      </c>
      <c r="I88" s="15"/>
    </row>
    <row r="89" spans="1:9" x14ac:dyDescent="0.2">
      <c r="A89" s="1" t="s">
        <v>20</v>
      </c>
      <c r="B89" s="1" t="s">
        <v>33</v>
      </c>
      <c r="C89" s="1">
        <v>107</v>
      </c>
      <c r="D89" s="1" t="s">
        <v>95</v>
      </c>
      <c r="E89" s="2">
        <v>42151</v>
      </c>
      <c r="F89" s="2">
        <v>42151</v>
      </c>
      <c r="G89" s="4">
        <v>6.57</v>
      </c>
      <c r="H89" s="4">
        <v>2.6059999999999999</v>
      </c>
      <c r="I89" s="15"/>
    </row>
    <row r="90" spans="1:9" x14ac:dyDescent="0.2">
      <c r="A90" s="1" t="s">
        <v>20</v>
      </c>
      <c r="B90" s="1" t="s">
        <v>33</v>
      </c>
      <c r="C90" s="1">
        <v>131</v>
      </c>
      <c r="D90" s="1" t="s">
        <v>94</v>
      </c>
      <c r="E90" s="2">
        <v>42151</v>
      </c>
      <c r="F90" s="2">
        <v>42151</v>
      </c>
      <c r="G90" s="4">
        <f>8.937+8.906</f>
        <v>17.843</v>
      </c>
      <c r="H90" s="4">
        <v>8.09</v>
      </c>
      <c r="I90" s="15"/>
    </row>
    <row r="91" spans="1:9" x14ac:dyDescent="0.2">
      <c r="A91" s="1" t="s">
        <v>20</v>
      </c>
      <c r="B91" s="1" t="s">
        <v>33</v>
      </c>
      <c r="C91" s="1">
        <v>135</v>
      </c>
      <c r="D91" s="1" t="s">
        <v>87</v>
      </c>
      <c r="E91" s="2">
        <v>42151</v>
      </c>
      <c r="F91" s="2">
        <v>42151</v>
      </c>
      <c r="G91" s="4">
        <v>11.007</v>
      </c>
      <c r="H91" s="4">
        <v>3.6219999999999999</v>
      </c>
      <c r="I91" s="15"/>
    </row>
    <row r="92" spans="1:9" x14ac:dyDescent="0.2">
      <c r="A92" s="1" t="s">
        <v>20</v>
      </c>
      <c r="B92" s="1" t="s">
        <v>33</v>
      </c>
      <c r="C92" s="1">
        <v>170</v>
      </c>
      <c r="D92" s="1" t="s">
        <v>97</v>
      </c>
      <c r="E92" s="2">
        <v>42151</v>
      </c>
      <c r="F92" s="2">
        <v>42151</v>
      </c>
      <c r="G92" s="4">
        <v>3.4239999999999999</v>
      </c>
      <c r="H92" s="4">
        <v>1.409</v>
      </c>
      <c r="I92" s="15"/>
    </row>
    <row r="93" spans="1:9" x14ac:dyDescent="0.2">
      <c r="A93" s="1" t="s">
        <v>20</v>
      </c>
      <c r="B93" s="1" t="s">
        <v>30</v>
      </c>
      <c r="C93" s="1">
        <v>14</v>
      </c>
      <c r="D93" s="1" t="s">
        <v>87</v>
      </c>
      <c r="E93" s="2">
        <v>42150</v>
      </c>
      <c r="F93" s="2">
        <v>42150</v>
      </c>
      <c r="G93" s="4">
        <f>6.08+3.81</f>
        <v>9.89</v>
      </c>
      <c r="H93" s="4">
        <v>3.9262000000000001</v>
      </c>
      <c r="I93" s="15"/>
    </row>
    <row r="94" spans="1:9" x14ac:dyDescent="0.2">
      <c r="A94" s="1" t="s">
        <v>20</v>
      </c>
      <c r="B94" s="1" t="s">
        <v>30</v>
      </c>
      <c r="C94" s="1">
        <v>18</v>
      </c>
      <c r="D94" s="1" t="s">
        <v>90</v>
      </c>
      <c r="E94" s="2">
        <v>42150</v>
      </c>
      <c r="F94" s="2">
        <v>42150</v>
      </c>
      <c r="G94" s="4">
        <v>7.3840000000000003</v>
      </c>
      <c r="H94" s="4">
        <v>4.2880000000000003</v>
      </c>
      <c r="I94" s="15"/>
    </row>
    <row r="95" spans="1:9" x14ac:dyDescent="0.2">
      <c r="A95" s="1" t="s">
        <v>20</v>
      </c>
      <c r="B95" s="1" t="s">
        <v>30</v>
      </c>
      <c r="C95" s="1">
        <v>26</v>
      </c>
      <c r="D95" s="1" t="s">
        <v>86</v>
      </c>
      <c r="E95" s="2">
        <v>42150</v>
      </c>
      <c r="F95" s="2">
        <v>42150</v>
      </c>
      <c r="G95" s="4">
        <v>4.9829999999999997</v>
      </c>
      <c r="H95" s="4">
        <v>2.9609999999999999</v>
      </c>
      <c r="I95" s="15"/>
    </row>
    <row r="96" spans="1:9" x14ac:dyDescent="0.2">
      <c r="A96" s="1" t="s">
        <v>20</v>
      </c>
      <c r="B96" s="1" t="s">
        <v>30</v>
      </c>
      <c r="C96" s="1">
        <v>33</v>
      </c>
      <c r="D96" s="1" t="s">
        <v>88</v>
      </c>
      <c r="E96" s="2">
        <v>42150</v>
      </c>
      <c r="F96" s="2">
        <v>42150</v>
      </c>
      <c r="G96" s="4">
        <v>26.187000000000001</v>
      </c>
      <c r="H96" s="4">
        <v>9.7759999999999998</v>
      </c>
      <c r="I96" s="15"/>
    </row>
    <row r="97" spans="1:11" x14ac:dyDescent="0.2">
      <c r="A97" s="1" t="s">
        <v>20</v>
      </c>
      <c r="B97" s="1" t="s">
        <v>30</v>
      </c>
      <c r="C97" s="1">
        <v>44</v>
      </c>
      <c r="D97" s="1" t="s">
        <v>87</v>
      </c>
      <c r="E97" s="2">
        <v>42150</v>
      </c>
      <c r="F97" s="2">
        <v>42150</v>
      </c>
      <c r="G97" s="4">
        <f>14.625+16.374</f>
        <v>30.998999999999999</v>
      </c>
      <c r="H97" s="4">
        <v>11.239000000000001</v>
      </c>
      <c r="I97" s="15"/>
    </row>
    <row r="98" spans="1:11" x14ac:dyDescent="0.2">
      <c r="A98" s="1" t="s">
        <v>20</v>
      </c>
      <c r="B98" s="1" t="s">
        <v>30</v>
      </c>
      <c r="C98" s="1">
        <v>47</v>
      </c>
      <c r="D98" s="1" t="s">
        <v>89</v>
      </c>
      <c r="E98" s="2">
        <v>42150</v>
      </c>
      <c r="F98" s="2">
        <v>42150</v>
      </c>
      <c r="G98" s="4">
        <v>15.420999999999999</v>
      </c>
      <c r="H98" s="4">
        <v>4.3179999999999996</v>
      </c>
      <c r="I98" s="15"/>
      <c r="J98" s="1" t="s">
        <v>32</v>
      </c>
    </row>
    <row r="99" spans="1:11" x14ac:dyDescent="0.2">
      <c r="A99" s="1" t="s">
        <v>20</v>
      </c>
      <c r="B99" s="1" t="s">
        <v>30</v>
      </c>
      <c r="C99" s="1">
        <v>55</v>
      </c>
      <c r="D99" s="1" t="s">
        <v>46</v>
      </c>
      <c r="E99" s="2">
        <v>42150</v>
      </c>
      <c r="F99" s="2">
        <v>42150</v>
      </c>
      <c r="G99" s="4">
        <v>8.8949999999999996</v>
      </c>
      <c r="H99" s="4">
        <v>8.89</v>
      </c>
      <c r="I99" s="15"/>
      <c r="K99" s="1">
        <v>1</v>
      </c>
    </row>
    <row r="100" spans="1:11" x14ac:dyDescent="0.2">
      <c r="A100" s="1" t="s">
        <v>20</v>
      </c>
      <c r="B100" s="1" t="s">
        <v>30</v>
      </c>
      <c r="C100" s="1">
        <v>57</v>
      </c>
      <c r="D100" s="1" t="s">
        <v>68</v>
      </c>
      <c r="E100" s="2">
        <v>42150</v>
      </c>
      <c r="F100" s="2">
        <v>42150</v>
      </c>
      <c r="G100" s="4">
        <v>5.0060000000000002</v>
      </c>
      <c r="H100" s="4">
        <v>3.28</v>
      </c>
      <c r="I100" s="15"/>
    </row>
    <row r="101" spans="1:11" x14ac:dyDescent="0.2">
      <c r="A101" s="1" t="s">
        <v>20</v>
      </c>
      <c r="B101" s="1" t="s">
        <v>30</v>
      </c>
      <c r="C101" s="1">
        <v>95</v>
      </c>
      <c r="D101" s="1" t="s">
        <v>85</v>
      </c>
      <c r="E101" s="2">
        <v>42150</v>
      </c>
      <c r="F101" s="2">
        <v>42150</v>
      </c>
      <c r="G101" s="4">
        <v>4.7350000000000003</v>
      </c>
      <c r="H101" s="4">
        <v>1.861</v>
      </c>
      <c r="I101" s="15"/>
    </row>
    <row r="102" spans="1:11" x14ac:dyDescent="0.2">
      <c r="A102" s="1" t="s">
        <v>20</v>
      </c>
      <c r="B102" s="1" t="s">
        <v>30</v>
      </c>
      <c r="C102" s="1" t="s">
        <v>31</v>
      </c>
      <c r="D102" s="39" t="s">
        <v>69</v>
      </c>
      <c r="E102" s="2">
        <v>42150</v>
      </c>
      <c r="F102" s="2">
        <v>42150</v>
      </c>
      <c r="G102" s="4">
        <v>250</v>
      </c>
      <c r="H102" s="4">
        <v>225.4</v>
      </c>
      <c r="I102" s="15"/>
      <c r="J102" s="39" t="s">
        <v>337</v>
      </c>
      <c r="K102" s="1">
        <v>1</v>
      </c>
    </row>
    <row r="103" spans="1:11" x14ac:dyDescent="0.2">
      <c r="A103" s="1" t="s">
        <v>20</v>
      </c>
      <c r="B103" s="1" t="s">
        <v>41</v>
      </c>
      <c r="C103" s="1">
        <v>2</v>
      </c>
      <c r="D103" s="1" t="s">
        <v>94</v>
      </c>
      <c r="E103" s="2" t="s">
        <v>60</v>
      </c>
      <c r="F103" s="2" t="s">
        <v>55</v>
      </c>
      <c r="G103" s="4">
        <v>9.8219999999999992</v>
      </c>
      <c r="H103" s="4">
        <v>5.3280000000000003</v>
      </c>
      <c r="I103" s="15"/>
      <c r="J103" s="1" t="s">
        <v>56</v>
      </c>
    </row>
    <row r="104" spans="1:11" x14ac:dyDescent="0.2">
      <c r="A104" s="1" t="s">
        <v>20</v>
      </c>
      <c r="B104" s="1" t="s">
        <v>41</v>
      </c>
      <c r="C104" s="1">
        <v>11</v>
      </c>
      <c r="D104" s="1" t="s">
        <v>43</v>
      </c>
      <c r="E104" s="2" t="s">
        <v>60</v>
      </c>
      <c r="F104" s="2" t="s">
        <v>55</v>
      </c>
      <c r="G104" s="4">
        <f>6.503+7.391</f>
        <v>13.894</v>
      </c>
      <c r="H104" s="4">
        <v>9.9149999999999991</v>
      </c>
      <c r="I104" s="15"/>
    </row>
    <row r="105" spans="1:11" x14ac:dyDescent="0.2">
      <c r="A105" s="1" t="s">
        <v>20</v>
      </c>
      <c r="B105" s="1" t="s">
        <v>41</v>
      </c>
      <c r="C105" s="1">
        <v>13</v>
      </c>
      <c r="D105" s="1" t="s">
        <v>44</v>
      </c>
      <c r="E105" s="2" t="s">
        <v>60</v>
      </c>
      <c r="F105" s="2" t="s">
        <v>55</v>
      </c>
      <c r="G105" s="4">
        <v>28.001999999999999</v>
      </c>
      <c r="H105" s="4">
        <v>11.129</v>
      </c>
      <c r="I105" s="15"/>
    </row>
    <row r="106" spans="1:11" x14ac:dyDescent="0.2">
      <c r="A106" s="1" t="s">
        <v>20</v>
      </c>
      <c r="B106" s="1" t="s">
        <v>41</v>
      </c>
      <c r="C106" s="1">
        <v>19</v>
      </c>
      <c r="D106" s="1" t="s">
        <v>45</v>
      </c>
      <c r="E106" s="2" t="s">
        <v>60</v>
      </c>
      <c r="F106" s="2" t="s">
        <v>55</v>
      </c>
      <c r="G106" s="4">
        <v>4.8499999999999996</v>
      </c>
      <c r="H106" s="4">
        <v>1.5649999999999999</v>
      </c>
      <c r="I106" s="15"/>
    </row>
    <row r="107" spans="1:11" x14ac:dyDescent="0.2">
      <c r="A107" s="1" t="s">
        <v>20</v>
      </c>
      <c r="B107" s="1" t="s">
        <v>41</v>
      </c>
      <c r="C107" s="1">
        <v>27</v>
      </c>
      <c r="D107" s="1" t="s">
        <v>94</v>
      </c>
      <c r="E107" s="2" t="s">
        <v>60</v>
      </c>
      <c r="F107" s="2" t="s">
        <v>55</v>
      </c>
      <c r="G107" s="4">
        <f>5.155+4.087</f>
        <v>9.2420000000000009</v>
      </c>
      <c r="H107" s="4">
        <v>4.4039999999999999</v>
      </c>
      <c r="I107" s="15"/>
      <c r="J107" s="1" t="s">
        <v>56</v>
      </c>
    </row>
    <row r="108" spans="1:11" x14ac:dyDescent="0.2">
      <c r="A108" s="1" t="s">
        <v>20</v>
      </c>
      <c r="B108" s="1" t="s">
        <v>41</v>
      </c>
      <c r="C108" s="1">
        <v>30</v>
      </c>
      <c r="D108" s="1" t="s">
        <v>46</v>
      </c>
      <c r="E108" s="2" t="s">
        <v>60</v>
      </c>
      <c r="F108" s="2" t="s">
        <v>55</v>
      </c>
      <c r="G108" s="4">
        <v>15.855</v>
      </c>
      <c r="H108" s="4">
        <v>8.1959999999999997</v>
      </c>
      <c r="I108" s="15"/>
    </row>
    <row r="109" spans="1:11" x14ac:dyDescent="0.2">
      <c r="A109" s="1" t="s">
        <v>20</v>
      </c>
      <c r="B109" s="1" t="s">
        <v>41</v>
      </c>
      <c r="C109" s="1">
        <v>35</v>
      </c>
      <c r="D109" s="1" t="s">
        <v>47</v>
      </c>
      <c r="E109" s="2" t="s">
        <v>60</v>
      </c>
      <c r="F109" s="2" t="s">
        <v>55</v>
      </c>
      <c r="G109" s="4">
        <v>6.7919999999999998</v>
      </c>
      <c r="H109" s="4">
        <v>6.0789999999999997</v>
      </c>
      <c r="I109" s="15"/>
    </row>
    <row r="110" spans="1:11" x14ac:dyDescent="0.2">
      <c r="A110" s="1" t="s">
        <v>20</v>
      </c>
      <c r="B110" s="1" t="s">
        <v>41</v>
      </c>
      <c r="C110" s="1">
        <v>38</v>
      </c>
      <c r="D110" s="1" t="s">
        <v>68</v>
      </c>
      <c r="E110" s="2" t="s">
        <v>60</v>
      </c>
      <c r="F110" s="2" t="s">
        <v>55</v>
      </c>
      <c r="G110" s="4">
        <f>7.464+5.83</f>
        <v>13.294</v>
      </c>
      <c r="H110" s="4">
        <v>8.2089999999999996</v>
      </c>
      <c r="I110" s="15"/>
    </row>
    <row r="111" spans="1:11" x14ac:dyDescent="0.2">
      <c r="A111" s="1" t="s">
        <v>20</v>
      </c>
      <c r="B111" s="1" t="s">
        <v>41</v>
      </c>
      <c r="C111" s="1">
        <v>39</v>
      </c>
      <c r="D111" s="1" t="s">
        <v>43</v>
      </c>
      <c r="E111" s="2" t="s">
        <v>60</v>
      </c>
      <c r="F111" s="2" t="s">
        <v>55</v>
      </c>
      <c r="G111" s="4">
        <v>7.13</v>
      </c>
      <c r="H111" s="4">
        <v>4.5419999999999998</v>
      </c>
      <c r="I111" s="15"/>
    </row>
    <row r="112" spans="1:11" x14ac:dyDescent="0.2">
      <c r="A112" s="1" t="s">
        <v>20</v>
      </c>
      <c r="B112" s="1" t="s">
        <v>41</v>
      </c>
      <c r="C112" s="1">
        <v>43</v>
      </c>
      <c r="D112" s="1" t="s">
        <v>57</v>
      </c>
      <c r="E112" s="2" t="s">
        <v>60</v>
      </c>
      <c r="F112" s="2" t="s">
        <v>55</v>
      </c>
      <c r="G112" s="4">
        <v>9.5090000000000003</v>
      </c>
      <c r="H112" s="4">
        <v>5.8079999999999998</v>
      </c>
      <c r="I112" s="15"/>
    </row>
    <row r="113" spans="1:9" x14ac:dyDescent="0.2">
      <c r="A113" s="1" t="s">
        <v>20</v>
      </c>
      <c r="B113" s="1" t="s">
        <v>41</v>
      </c>
      <c r="C113" s="1">
        <v>49</v>
      </c>
      <c r="D113" s="1" t="s">
        <v>48</v>
      </c>
      <c r="E113" s="2" t="s">
        <v>60</v>
      </c>
      <c r="F113" s="2" t="s">
        <v>55</v>
      </c>
      <c r="G113" s="4">
        <f>4.07+4.108</f>
        <v>8.1780000000000008</v>
      </c>
      <c r="H113" s="4">
        <v>2.59</v>
      </c>
      <c r="I113" s="15"/>
    </row>
    <row r="114" spans="1:9" x14ac:dyDescent="0.2">
      <c r="A114" s="1" t="s">
        <v>20</v>
      </c>
      <c r="B114" s="1" t="s">
        <v>41</v>
      </c>
      <c r="C114" s="1">
        <v>50</v>
      </c>
      <c r="D114" s="1" t="s">
        <v>49</v>
      </c>
      <c r="E114" s="2" t="s">
        <v>60</v>
      </c>
      <c r="F114" s="2" t="s">
        <v>55</v>
      </c>
      <c r="G114" s="4">
        <f>17.411+13.437</f>
        <v>30.847999999999999</v>
      </c>
      <c r="H114" s="4">
        <v>25.12</v>
      </c>
      <c r="I114" s="15"/>
    </row>
    <row r="115" spans="1:9" x14ac:dyDescent="0.2">
      <c r="A115" s="1" t="s">
        <v>20</v>
      </c>
      <c r="B115" s="1" t="s">
        <v>41</v>
      </c>
      <c r="C115" s="1">
        <v>61</v>
      </c>
      <c r="D115" s="1" t="s">
        <v>50</v>
      </c>
      <c r="E115" s="2" t="s">
        <v>60</v>
      </c>
      <c r="F115" s="2" t="s">
        <v>55</v>
      </c>
      <c r="G115" s="4">
        <f>14.762+15.661</f>
        <v>30.423000000000002</v>
      </c>
      <c r="H115" s="4">
        <v>13.94</v>
      </c>
      <c r="I115" s="15"/>
    </row>
    <row r="116" spans="1:9" x14ac:dyDescent="0.2">
      <c r="A116" s="1" t="s">
        <v>20</v>
      </c>
      <c r="B116" s="1" t="s">
        <v>41</v>
      </c>
      <c r="C116" s="1">
        <v>88</v>
      </c>
      <c r="D116" s="1" t="s">
        <v>51</v>
      </c>
      <c r="E116" s="2" t="s">
        <v>60</v>
      </c>
      <c r="F116" s="2" t="s">
        <v>55</v>
      </c>
      <c r="G116" s="4">
        <f>7.512+5.186</f>
        <v>12.698</v>
      </c>
      <c r="H116" s="4">
        <v>6.1689999999999996</v>
      </c>
      <c r="I116" s="15"/>
    </row>
    <row r="117" spans="1:9" x14ac:dyDescent="0.2">
      <c r="A117" s="1" t="s">
        <v>20</v>
      </c>
      <c r="B117" s="1" t="s">
        <v>41</v>
      </c>
      <c r="C117" s="1">
        <v>92</v>
      </c>
      <c r="D117" s="1" t="s">
        <v>291</v>
      </c>
      <c r="E117" s="2" t="s">
        <v>60</v>
      </c>
      <c r="F117" s="2" t="s">
        <v>55</v>
      </c>
      <c r="G117" s="4">
        <f>4.742+5.062</f>
        <v>9.8040000000000003</v>
      </c>
      <c r="H117" s="4">
        <v>4.6959999999999997</v>
      </c>
      <c r="I117" s="15"/>
    </row>
    <row r="118" spans="1:9" x14ac:dyDescent="0.2">
      <c r="A118" s="1" t="s">
        <v>20</v>
      </c>
      <c r="B118" s="1" t="s">
        <v>41</v>
      </c>
      <c r="C118" s="1">
        <v>106</v>
      </c>
      <c r="D118" s="1" t="s">
        <v>52</v>
      </c>
      <c r="E118" s="2" t="s">
        <v>60</v>
      </c>
      <c r="F118" s="2" t="s">
        <v>55</v>
      </c>
      <c r="G118" s="4">
        <f>5.041+6.21</f>
        <v>11.251000000000001</v>
      </c>
      <c r="H118" s="4">
        <v>4.2519999999999998</v>
      </c>
      <c r="I118" s="15"/>
    </row>
    <row r="119" spans="1:9" x14ac:dyDescent="0.2">
      <c r="A119" s="1" t="s">
        <v>20</v>
      </c>
      <c r="B119" s="1" t="s">
        <v>41</v>
      </c>
      <c r="C119" s="1">
        <v>115</v>
      </c>
      <c r="D119" s="1" t="s">
        <v>53</v>
      </c>
      <c r="E119" s="2" t="s">
        <v>60</v>
      </c>
      <c r="F119" s="2" t="s">
        <v>55</v>
      </c>
      <c r="G119" s="4">
        <v>16.48</v>
      </c>
      <c r="H119" s="4">
        <v>4.2759999999999998</v>
      </c>
      <c r="I119" s="15"/>
    </row>
    <row r="120" spans="1:9" x14ac:dyDescent="0.2">
      <c r="A120" s="1" t="s">
        <v>20</v>
      </c>
      <c r="B120" s="1" t="s">
        <v>41</v>
      </c>
      <c r="C120" s="1">
        <v>115</v>
      </c>
      <c r="D120" s="1" t="s">
        <v>53</v>
      </c>
      <c r="E120" s="2" t="s">
        <v>60</v>
      </c>
      <c r="F120" s="2" t="s">
        <v>55</v>
      </c>
      <c r="G120" s="4">
        <f>10.517+10.312</f>
        <v>20.829000000000001</v>
      </c>
      <c r="H120" s="4">
        <v>6.5750000000000002</v>
      </c>
      <c r="I120" s="15"/>
    </row>
    <row r="121" spans="1:9" x14ac:dyDescent="0.2">
      <c r="A121" s="1" t="s">
        <v>20</v>
      </c>
      <c r="B121" s="1" t="s">
        <v>41</v>
      </c>
      <c r="C121" s="1">
        <v>117</v>
      </c>
      <c r="D121" s="1" t="s">
        <v>54</v>
      </c>
      <c r="E121" s="2" t="s">
        <v>60</v>
      </c>
      <c r="F121" s="2" t="s">
        <v>55</v>
      </c>
      <c r="G121" s="4">
        <f>10.327+12.355</f>
        <v>22.682000000000002</v>
      </c>
      <c r="H121" s="4">
        <v>11.679</v>
      </c>
      <c r="I121" s="15"/>
    </row>
    <row r="122" spans="1:9" x14ac:dyDescent="0.2">
      <c r="A122" s="1" t="s">
        <v>20</v>
      </c>
      <c r="B122" s="1" t="s">
        <v>41</v>
      </c>
      <c r="C122" s="1" t="s">
        <v>42</v>
      </c>
      <c r="D122" s="1" t="s">
        <v>292</v>
      </c>
      <c r="E122" s="2" t="s">
        <v>60</v>
      </c>
      <c r="F122" s="2" t="s">
        <v>55</v>
      </c>
      <c r="G122" s="4">
        <v>13.048</v>
      </c>
      <c r="H122" s="4">
        <v>6.5049999999999999</v>
      </c>
      <c r="I122" s="15"/>
    </row>
    <row r="123" spans="1:9" x14ac:dyDescent="0.2">
      <c r="A123" s="1" t="s">
        <v>20</v>
      </c>
      <c r="B123" s="1" t="s">
        <v>160</v>
      </c>
      <c r="C123" s="1">
        <v>8</v>
      </c>
      <c r="D123" s="1" t="s">
        <v>171</v>
      </c>
      <c r="E123" s="2">
        <v>42184</v>
      </c>
      <c r="F123" s="2">
        <v>42184</v>
      </c>
      <c r="G123" s="1">
        <f>5.042+5.046+5.645+5.206</f>
        <v>20.939</v>
      </c>
      <c r="H123" s="1">
        <v>12.632</v>
      </c>
      <c r="I123" s="15">
        <f>AVERAGE(8.1,7.73,7.94)</f>
        <v>7.9233333333333329</v>
      </c>
    </row>
    <row r="124" spans="1:9" x14ac:dyDescent="0.2">
      <c r="A124" s="1" t="s">
        <v>20</v>
      </c>
      <c r="B124" s="1" t="s">
        <v>160</v>
      </c>
      <c r="C124" s="1">
        <v>24</v>
      </c>
      <c r="D124" s="1" t="s">
        <v>172</v>
      </c>
      <c r="E124" s="2">
        <v>42184</v>
      </c>
      <c r="F124" s="2">
        <v>42184</v>
      </c>
      <c r="G124" s="1">
        <f>13.669</f>
        <v>13.669</v>
      </c>
      <c r="H124" s="1">
        <v>10.78</v>
      </c>
      <c r="I124" s="15">
        <f>AVERAGE(11.98,9.07,9.48)</f>
        <v>10.176666666666668</v>
      </c>
    </row>
    <row r="125" spans="1:9" x14ac:dyDescent="0.2">
      <c r="A125" s="1" t="s">
        <v>20</v>
      </c>
      <c r="B125" s="1" t="s">
        <v>160</v>
      </c>
      <c r="C125" s="1">
        <v>27</v>
      </c>
      <c r="D125" s="1" t="s">
        <v>171</v>
      </c>
      <c r="E125" s="2">
        <v>42184</v>
      </c>
      <c r="F125" s="2">
        <v>42184</v>
      </c>
      <c r="G125" s="1">
        <f>8.289+8.756</f>
        <v>17.045000000000002</v>
      </c>
      <c r="H125" s="1">
        <v>11.653</v>
      </c>
      <c r="I125" s="15">
        <f>AVERAGE(12.28,9.99,11.69)</f>
        <v>11.32</v>
      </c>
    </row>
    <row r="126" spans="1:9" x14ac:dyDescent="0.2">
      <c r="A126" s="1" t="s">
        <v>20</v>
      </c>
      <c r="B126" s="1" t="s">
        <v>160</v>
      </c>
      <c r="C126" s="1">
        <v>47</v>
      </c>
      <c r="D126" s="1" t="s">
        <v>173</v>
      </c>
      <c r="E126" s="2">
        <v>42184</v>
      </c>
      <c r="F126" s="2">
        <v>42184</v>
      </c>
      <c r="G126" s="1">
        <v>17.135999999999999</v>
      </c>
      <c r="H126" s="1">
        <v>10.502000000000001</v>
      </c>
      <c r="I126" s="15">
        <f>AVERAGE(12.53,11.31,12.19)</f>
        <v>12.01</v>
      </c>
    </row>
    <row r="127" spans="1:9" x14ac:dyDescent="0.2">
      <c r="A127" s="1" t="s">
        <v>20</v>
      </c>
      <c r="B127" s="1" t="s">
        <v>160</v>
      </c>
      <c r="C127" s="1">
        <v>68</v>
      </c>
      <c r="D127" s="1" t="s">
        <v>170</v>
      </c>
      <c r="E127" s="2">
        <v>42184</v>
      </c>
      <c r="F127" s="2">
        <v>42184</v>
      </c>
      <c r="G127" s="1">
        <f>27.523+22.206</f>
        <v>49.728999999999999</v>
      </c>
      <c r="H127" s="1">
        <v>32.561</v>
      </c>
      <c r="I127" s="15">
        <f>AVERAGE(13.7,13.56,12.9)</f>
        <v>13.386666666666665</v>
      </c>
    </row>
    <row r="128" spans="1:9" x14ac:dyDescent="0.2">
      <c r="A128" s="1" t="s">
        <v>20</v>
      </c>
      <c r="B128" s="1" t="s">
        <v>160</v>
      </c>
      <c r="C128" s="1" t="s">
        <v>161</v>
      </c>
      <c r="D128" s="1" t="s">
        <v>169</v>
      </c>
      <c r="E128" s="2">
        <v>42184</v>
      </c>
      <c r="F128" s="2">
        <v>42184</v>
      </c>
      <c r="G128" s="1">
        <f>11.06+11.387</f>
        <v>22.447000000000003</v>
      </c>
      <c r="H128" s="1">
        <v>11.896000000000001</v>
      </c>
      <c r="I128" s="15">
        <f>AVERAGE(9.76,9.43,9.93)</f>
        <v>9.7066666666666652</v>
      </c>
    </row>
    <row r="129" spans="1:9" x14ac:dyDescent="0.2">
      <c r="A129" s="1" t="s">
        <v>20</v>
      </c>
      <c r="B129" s="1" t="s">
        <v>58</v>
      </c>
      <c r="C129" s="1">
        <v>8</v>
      </c>
      <c r="D129" s="1" t="s">
        <v>65</v>
      </c>
      <c r="E129" s="2" t="s">
        <v>55</v>
      </c>
      <c r="F129" s="2" t="s">
        <v>55</v>
      </c>
      <c r="G129" s="1">
        <v>4.2530000000000001</v>
      </c>
      <c r="H129" s="1">
        <v>1.899</v>
      </c>
      <c r="I129" s="15"/>
    </row>
    <row r="130" spans="1:9" x14ac:dyDescent="0.2">
      <c r="A130" s="1" t="s">
        <v>20</v>
      </c>
      <c r="B130" s="1" t="s">
        <v>58</v>
      </c>
      <c r="C130" s="1">
        <v>10</v>
      </c>
      <c r="D130" s="1" t="s">
        <v>75</v>
      </c>
      <c r="E130" s="2" t="s">
        <v>55</v>
      </c>
      <c r="F130" s="2" t="s">
        <v>55</v>
      </c>
      <c r="G130" s="1">
        <v>12.224</v>
      </c>
      <c r="H130" s="1">
        <v>8.7460000000000004</v>
      </c>
      <c r="I130" s="15"/>
    </row>
    <row r="131" spans="1:9" x14ac:dyDescent="0.2">
      <c r="A131" s="1" t="s">
        <v>20</v>
      </c>
      <c r="B131" s="1" t="s">
        <v>58</v>
      </c>
      <c r="C131" s="1">
        <v>22</v>
      </c>
      <c r="D131" s="1" t="s">
        <v>67</v>
      </c>
      <c r="E131" s="2" t="s">
        <v>55</v>
      </c>
      <c r="F131" s="2" t="s">
        <v>55</v>
      </c>
      <c r="G131" s="1">
        <v>7.2190000000000003</v>
      </c>
      <c r="H131" s="1">
        <v>4.6989999999999998</v>
      </c>
      <c r="I131" s="15"/>
    </row>
    <row r="132" spans="1:9" x14ac:dyDescent="0.2">
      <c r="A132" s="1" t="s">
        <v>20</v>
      </c>
      <c r="B132" s="1" t="s">
        <v>58</v>
      </c>
      <c r="C132" s="1">
        <v>46</v>
      </c>
      <c r="D132" s="1" t="s">
        <v>94</v>
      </c>
      <c r="E132" s="2" t="s">
        <v>55</v>
      </c>
      <c r="F132" s="2" t="s">
        <v>55</v>
      </c>
      <c r="G132" s="1">
        <f>7.996+6.856</f>
        <v>14.852</v>
      </c>
      <c r="H132" s="1">
        <v>6.1440000000000001</v>
      </c>
      <c r="I132" s="15"/>
    </row>
    <row r="133" spans="1:9" x14ac:dyDescent="0.2">
      <c r="A133" s="1" t="s">
        <v>20</v>
      </c>
      <c r="B133" s="1" t="s">
        <v>58</v>
      </c>
      <c r="C133" s="1">
        <v>50</v>
      </c>
      <c r="D133" s="1" t="s">
        <v>68</v>
      </c>
      <c r="E133" s="2" t="s">
        <v>55</v>
      </c>
      <c r="F133" s="2" t="s">
        <v>55</v>
      </c>
      <c r="G133" s="1">
        <f>12.147+12.565</f>
        <v>24.712</v>
      </c>
      <c r="H133" s="1">
        <v>16.27</v>
      </c>
      <c r="I133" s="15"/>
    </row>
    <row r="134" spans="1:9" x14ac:dyDescent="0.2">
      <c r="A134" s="1" t="s">
        <v>20</v>
      </c>
      <c r="B134" s="1" t="s">
        <v>58</v>
      </c>
      <c r="C134" s="1">
        <v>52</v>
      </c>
      <c r="D134" s="1" t="s">
        <v>73</v>
      </c>
      <c r="E134" s="2" t="s">
        <v>55</v>
      </c>
      <c r="F134" s="2" t="s">
        <v>55</v>
      </c>
      <c r="G134" s="1">
        <v>14.321</v>
      </c>
      <c r="H134" s="1">
        <v>6.6449999999999996</v>
      </c>
      <c r="I134" s="15"/>
    </row>
    <row r="135" spans="1:9" x14ac:dyDescent="0.2">
      <c r="A135" s="1" t="s">
        <v>20</v>
      </c>
      <c r="B135" s="1" t="s">
        <v>58</v>
      </c>
      <c r="C135" s="1">
        <v>63</v>
      </c>
      <c r="D135" s="1" t="s">
        <v>69</v>
      </c>
      <c r="E135" s="2" t="s">
        <v>55</v>
      </c>
      <c r="F135" s="2" t="s">
        <v>55</v>
      </c>
      <c r="G135" s="1">
        <v>17.103000000000002</v>
      </c>
      <c r="H135" s="1">
        <v>8.6820000000000004</v>
      </c>
      <c r="I135" s="15"/>
    </row>
    <row r="136" spans="1:9" x14ac:dyDescent="0.2">
      <c r="A136" s="1" t="s">
        <v>20</v>
      </c>
      <c r="B136" s="1" t="s">
        <v>58</v>
      </c>
      <c r="C136" s="1">
        <v>64</v>
      </c>
      <c r="D136" s="1" t="s">
        <v>66</v>
      </c>
      <c r="E136" s="2" t="s">
        <v>55</v>
      </c>
      <c r="F136" s="2" t="s">
        <v>55</v>
      </c>
      <c r="G136" s="1">
        <v>11.744999999999999</v>
      </c>
      <c r="H136" s="1">
        <v>6.56</v>
      </c>
      <c r="I136" s="15"/>
    </row>
    <row r="137" spans="1:9" x14ac:dyDescent="0.2">
      <c r="A137" s="1" t="s">
        <v>20</v>
      </c>
      <c r="B137" s="1" t="s">
        <v>58</v>
      </c>
      <c r="C137" s="1">
        <v>73</v>
      </c>
      <c r="D137" s="1" t="s">
        <v>70</v>
      </c>
      <c r="E137" s="2" t="s">
        <v>55</v>
      </c>
      <c r="F137" s="2" t="s">
        <v>55</v>
      </c>
      <c r="G137" s="1">
        <f>4.17+4.139</f>
        <v>8.3090000000000011</v>
      </c>
      <c r="H137" s="1">
        <v>5.1539999999999999</v>
      </c>
      <c r="I137" s="15"/>
    </row>
    <row r="138" spans="1:9" x14ac:dyDescent="0.2">
      <c r="A138" s="1" t="s">
        <v>20</v>
      </c>
      <c r="B138" s="1" t="s">
        <v>58</v>
      </c>
      <c r="C138" s="1">
        <v>78</v>
      </c>
      <c r="D138" s="1" t="s">
        <v>291</v>
      </c>
      <c r="E138" s="2" t="s">
        <v>55</v>
      </c>
      <c r="F138" s="2" t="s">
        <v>55</v>
      </c>
      <c r="G138" s="1">
        <f>8.613+8.501</f>
        <v>17.113999999999997</v>
      </c>
      <c r="H138" s="1">
        <v>10.153</v>
      </c>
      <c r="I138" s="15"/>
    </row>
    <row r="139" spans="1:9" x14ac:dyDescent="0.2">
      <c r="A139" s="1" t="s">
        <v>20</v>
      </c>
      <c r="B139" s="1" t="s">
        <v>58</v>
      </c>
      <c r="C139" s="1">
        <v>86</v>
      </c>
      <c r="D139" s="1" t="s">
        <v>71</v>
      </c>
      <c r="E139" s="2" t="s">
        <v>55</v>
      </c>
      <c r="F139" s="2" t="s">
        <v>55</v>
      </c>
      <c r="G139" s="1">
        <v>3.952</v>
      </c>
      <c r="H139" s="1">
        <v>1.667</v>
      </c>
      <c r="I139" s="15"/>
    </row>
    <row r="140" spans="1:9" x14ac:dyDescent="0.2">
      <c r="A140" s="1" t="s">
        <v>20</v>
      </c>
      <c r="B140" s="1" t="s">
        <v>58</v>
      </c>
      <c r="C140" s="1">
        <v>95</v>
      </c>
      <c r="D140" s="1" t="s">
        <v>291</v>
      </c>
      <c r="E140" s="2" t="s">
        <v>55</v>
      </c>
      <c r="F140" s="2" t="s">
        <v>55</v>
      </c>
      <c r="G140" s="1">
        <f>22.689+24.248</f>
        <v>46.936999999999998</v>
      </c>
      <c r="H140" s="1">
        <v>26.209</v>
      </c>
      <c r="I140" s="15"/>
    </row>
    <row r="141" spans="1:9" x14ac:dyDescent="0.2">
      <c r="A141" s="1" t="s">
        <v>20</v>
      </c>
      <c r="B141" s="1" t="s">
        <v>58</v>
      </c>
      <c r="C141" s="1">
        <v>102</v>
      </c>
      <c r="D141" s="1" t="s">
        <v>72</v>
      </c>
      <c r="E141" s="2" t="s">
        <v>55</v>
      </c>
      <c r="F141" s="2" t="s">
        <v>55</v>
      </c>
      <c r="G141" s="1">
        <f>4.691+3.808</f>
        <v>8.4989999999999988</v>
      </c>
      <c r="H141" s="1">
        <v>5.6040000000000001</v>
      </c>
      <c r="I141" s="15"/>
    </row>
    <row r="142" spans="1:9" x14ac:dyDescent="0.2">
      <c r="A142" s="1" t="s">
        <v>20</v>
      </c>
      <c r="B142" s="1" t="s">
        <v>58</v>
      </c>
      <c r="C142" s="1">
        <v>115</v>
      </c>
      <c r="D142" s="1" t="s">
        <v>73</v>
      </c>
      <c r="E142" s="2" t="s">
        <v>55</v>
      </c>
      <c r="F142" s="2" t="s">
        <v>55</v>
      </c>
      <c r="G142" s="1">
        <f>2.921+4.178</f>
        <v>7.0990000000000002</v>
      </c>
      <c r="H142" s="1">
        <v>2.5920000000000001</v>
      </c>
      <c r="I142" s="15"/>
    </row>
    <row r="143" spans="1:9" x14ac:dyDescent="0.2">
      <c r="A143" s="1" t="s">
        <v>20</v>
      </c>
      <c r="B143" s="1" t="s">
        <v>58</v>
      </c>
      <c r="C143" s="1">
        <v>170</v>
      </c>
      <c r="D143" s="1" t="s">
        <v>74</v>
      </c>
      <c r="E143" s="2" t="s">
        <v>55</v>
      </c>
      <c r="F143" s="2" t="s">
        <v>55</v>
      </c>
      <c r="G143" s="1">
        <f>4.42+5.75</f>
        <v>10.17</v>
      </c>
      <c r="H143" s="1">
        <v>3.0489999999999999</v>
      </c>
      <c r="I143" s="15"/>
    </row>
    <row r="144" spans="1:9" x14ac:dyDescent="0.2">
      <c r="A144" s="1" t="s">
        <v>20</v>
      </c>
      <c r="B144" s="1" t="s">
        <v>58</v>
      </c>
      <c r="C144" s="1">
        <v>170</v>
      </c>
      <c r="D144" s="1" t="s">
        <v>74</v>
      </c>
      <c r="E144" s="2" t="s">
        <v>55</v>
      </c>
      <c r="F144" s="2" t="s">
        <v>55</v>
      </c>
      <c r="G144" s="1">
        <f>8.937+6.516</f>
        <v>15.452999999999999</v>
      </c>
      <c r="H144" s="1">
        <v>5.4059999999999997</v>
      </c>
      <c r="I144" s="15"/>
    </row>
    <row r="145" spans="1:9" x14ac:dyDescent="0.2">
      <c r="A145" s="1" t="s">
        <v>20</v>
      </c>
      <c r="B145" s="1" t="s">
        <v>58</v>
      </c>
      <c r="C145" s="1" t="s">
        <v>35</v>
      </c>
      <c r="D145" s="1" t="s">
        <v>59</v>
      </c>
      <c r="E145" s="2" t="s">
        <v>55</v>
      </c>
      <c r="F145" s="2" t="s">
        <v>55</v>
      </c>
      <c r="G145" s="1">
        <v>17.068999999999999</v>
      </c>
      <c r="H145" s="1">
        <v>6.8579999999999997</v>
      </c>
      <c r="I145" s="15"/>
    </row>
    <row r="146" spans="1:9" x14ac:dyDescent="0.2">
      <c r="A146" s="1" t="s">
        <v>20</v>
      </c>
      <c r="B146" s="1" t="s">
        <v>106</v>
      </c>
      <c r="C146" s="5">
        <v>1</v>
      </c>
      <c r="D146" s="1" t="s">
        <v>51</v>
      </c>
      <c r="E146" s="2">
        <v>42163</v>
      </c>
      <c r="F146" s="2">
        <v>42163</v>
      </c>
      <c r="G146" s="1">
        <f>11.029+13.112</f>
        <v>24.140999999999998</v>
      </c>
      <c r="H146" s="1">
        <v>14.311999999999999</v>
      </c>
      <c r="I146" s="15"/>
    </row>
    <row r="147" spans="1:9" x14ac:dyDescent="0.2">
      <c r="A147" s="1" t="s">
        <v>20</v>
      </c>
      <c r="B147" s="1" t="s">
        <v>106</v>
      </c>
      <c r="C147" s="1">
        <v>4</v>
      </c>
      <c r="D147" s="1" t="s">
        <v>117</v>
      </c>
      <c r="E147" s="2">
        <v>42163</v>
      </c>
      <c r="F147" s="2">
        <v>42163</v>
      </c>
      <c r="G147" s="1">
        <f>5.385+5.935</f>
        <v>11.32</v>
      </c>
      <c r="H147" s="1">
        <v>4.8440000000000003</v>
      </c>
      <c r="I147" s="15"/>
    </row>
    <row r="148" spans="1:9" x14ac:dyDescent="0.2">
      <c r="A148" s="1" t="s">
        <v>20</v>
      </c>
      <c r="B148" s="1" t="s">
        <v>106</v>
      </c>
      <c r="C148" s="1">
        <v>7</v>
      </c>
      <c r="D148" s="1" t="s">
        <v>118</v>
      </c>
      <c r="E148" s="2">
        <v>42163</v>
      </c>
      <c r="F148" s="2">
        <v>42163</v>
      </c>
      <c r="G148" s="1">
        <f>3.427+3.975</f>
        <v>7.4020000000000001</v>
      </c>
      <c r="H148" s="1">
        <v>4.1260000000000003</v>
      </c>
      <c r="I148" s="15"/>
    </row>
    <row r="149" spans="1:9" x14ac:dyDescent="0.2">
      <c r="A149" s="1" t="s">
        <v>20</v>
      </c>
      <c r="B149" s="1" t="s">
        <v>106</v>
      </c>
      <c r="C149" s="1">
        <v>10</v>
      </c>
      <c r="D149" s="1" t="s">
        <v>119</v>
      </c>
      <c r="E149" s="2">
        <v>42163</v>
      </c>
      <c r="F149" s="2">
        <v>42163</v>
      </c>
      <c r="G149" s="1">
        <f>2.739+3.416+3.346</f>
        <v>9.5009999999999994</v>
      </c>
      <c r="H149" s="1">
        <v>5.5140000000000002</v>
      </c>
      <c r="I149" s="15"/>
    </row>
    <row r="150" spans="1:9" x14ac:dyDescent="0.2">
      <c r="A150" s="1" t="s">
        <v>20</v>
      </c>
      <c r="B150" s="1" t="s">
        <v>106</v>
      </c>
      <c r="C150" s="1">
        <v>11</v>
      </c>
      <c r="D150" s="1" t="s">
        <v>120</v>
      </c>
      <c r="E150" s="2">
        <v>42163</v>
      </c>
      <c r="F150" s="2">
        <v>42163</v>
      </c>
      <c r="G150" s="1">
        <v>17.088000000000001</v>
      </c>
      <c r="H150" s="1">
        <v>8.8680000000000003</v>
      </c>
      <c r="I150" s="15"/>
    </row>
    <row r="151" spans="1:9" x14ac:dyDescent="0.2">
      <c r="A151" s="1" t="s">
        <v>20</v>
      </c>
      <c r="B151" s="1" t="s">
        <v>106</v>
      </c>
      <c r="C151" s="5">
        <v>18</v>
      </c>
      <c r="D151" s="1" t="s">
        <v>87</v>
      </c>
      <c r="E151" s="2">
        <v>42163</v>
      </c>
      <c r="F151" s="2">
        <v>42163</v>
      </c>
      <c r="G151" s="1">
        <f>5.75+10.444</f>
        <v>16.194000000000003</v>
      </c>
      <c r="H151" s="1">
        <v>6.976</v>
      </c>
      <c r="I151" s="15"/>
    </row>
    <row r="152" spans="1:9" x14ac:dyDescent="0.2">
      <c r="A152" s="1" t="s">
        <v>20</v>
      </c>
      <c r="B152" s="1" t="s">
        <v>106</v>
      </c>
      <c r="C152" s="1">
        <v>20</v>
      </c>
      <c r="D152" s="1" t="s">
        <v>88</v>
      </c>
      <c r="E152" s="2">
        <v>42163</v>
      </c>
      <c r="F152" s="2">
        <v>42163</v>
      </c>
      <c r="G152" s="1">
        <f>12.184+15.394</f>
        <v>27.577999999999999</v>
      </c>
      <c r="H152" s="1">
        <v>10.818</v>
      </c>
      <c r="I152" s="15"/>
    </row>
    <row r="153" spans="1:9" x14ac:dyDescent="0.2">
      <c r="A153" s="1" t="s">
        <v>20</v>
      </c>
      <c r="B153" s="1" t="s">
        <v>106</v>
      </c>
      <c r="C153" s="1">
        <v>22</v>
      </c>
      <c r="D153" s="1" t="s">
        <v>76</v>
      </c>
      <c r="E153" s="2">
        <v>42163</v>
      </c>
      <c r="F153" s="2">
        <v>42163</v>
      </c>
      <c r="G153" s="1">
        <v>36.210999999999999</v>
      </c>
      <c r="H153" s="1">
        <v>27.661999999999999</v>
      </c>
      <c r="I153" s="15"/>
    </row>
    <row r="154" spans="1:9" x14ac:dyDescent="0.2">
      <c r="A154" s="1" t="s">
        <v>20</v>
      </c>
      <c r="B154" s="1" t="s">
        <v>106</v>
      </c>
      <c r="C154" s="1">
        <v>45</v>
      </c>
      <c r="D154" s="1" t="s">
        <v>88</v>
      </c>
      <c r="E154" s="2">
        <v>42163</v>
      </c>
      <c r="F154" s="2">
        <v>42163</v>
      </c>
      <c r="G154" s="1">
        <v>43.765999999999998</v>
      </c>
      <c r="H154" s="1">
        <v>23.571000000000002</v>
      </c>
      <c r="I154" s="15"/>
    </row>
    <row r="155" spans="1:9" x14ac:dyDescent="0.2">
      <c r="A155" s="1" t="s">
        <v>20</v>
      </c>
      <c r="B155" s="1" t="s">
        <v>106</v>
      </c>
      <c r="C155" s="1">
        <v>45</v>
      </c>
      <c r="D155" s="1" t="s">
        <v>88</v>
      </c>
      <c r="E155" s="2">
        <v>42163</v>
      </c>
      <c r="F155" s="2">
        <v>42163</v>
      </c>
      <c r="G155" s="1">
        <v>34.335000000000001</v>
      </c>
      <c r="H155" s="1">
        <v>17.32</v>
      </c>
      <c r="I155" s="15"/>
    </row>
    <row r="156" spans="1:9" x14ac:dyDescent="0.2">
      <c r="A156" s="1" t="s">
        <v>20</v>
      </c>
      <c r="B156" s="1" t="s">
        <v>106</v>
      </c>
      <c r="C156" s="5">
        <v>57</v>
      </c>
      <c r="D156" s="1" t="s">
        <v>51</v>
      </c>
      <c r="E156" s="2">
        <v>42163</v>
      </c>
      <c r="F156" s="2">
        <v>42163</v>
      </c>
      <c r="G156" s="1">
        <v>14.696999999999999</v>
      </c>
      <c r="H156" s="1">
        <v>9.5129999999999999</v>
      </c>
      <c r="I156" s="15"/>
    </row>
    <row r="157" spans="1:9" x14ac:dyDescent="0.2">
      <c r="A157" s="1" t="s">
        <v>20</v>
      </c>
      <c r="B157" s="1" t="s">
        <v>106</v>
      </c>
      <c r="C157" s="1">
        <v>76</v>
      </c>
      <c r="D157" s="1" t="s">
        <v>121</v>
      </c>
      <c r="E157" s="2">
        <v>42163</v>
      </c>
      <c r="F157" s="2">
        <v>42163</v>
      </c>
      <c r="G157" s="1">
        <f>2.927+1.815</f>
        <v>4.742</v>
      </c>
      <c r="H157" s="1">
        <v>2.552</v>
      </c>
      <c r="I157" s="15"/>
    </row>
    <row r="158" spans="1:9" x14ac:dyDescent="0.2">
      <c r="A158" s="1" t="s">
        <v>20</v>
      </c>
      <c r="B158" s="1" t="s">
        <v>106</v>
      </c>
      <c r="C158" s="1">
        <v>112</v>
      </c>
      <c r="D158" s="1" t="s">
        <v>122</v>
      </c>
      <c r="E158" s="2">
        <v>42163</v>
      </c>
      <c r="F158" s="2">
        <v>42163</v>
      </c>
      <c r="G158" s="1">
        <f>9.455+9.373</f>
        <v>18.827999999999999</v>
      </c>
      <c r="H158" s="1">
        <v>11.885999999999999</v>
      </c>
      <c r="I158" s="15"/>
    </row>
    <row r="159" spans="1:9" x14ac:dyDescent="0.2">
      <c r="A159" s="1" t="s">
        <v>20</v>
      </c>
      <c r="B159" s="1" t="s">
        <v>164</v>
      </c>
      <c r="C159" s="1">
        <v>3</v>
      </c>
      <c r="D159" s="1" t="s">
        <v>166</v>
      </c>
      <c r="E159" s="2">
        <v>42187</v>
      </c>
      <c r="F159" s="2">
        <v>42187</v>
      </c>
      <c r="G159" s="1">
        <f>5.336+4.909+4.762</f>
        <v>15.007000000000001</v>
      </c>
      <c r="H159" s="1">
        <v>9.1519999999999992</v>
      </c>
      <c r="I159" s="15">
        <f>AVERAGE(7.85,7.4,6.54)</f>
        <v>7.2633333333333328</v>
      </c>
    </row>
    <row r="160" spans="1:9" x14ac:dyDescent="0.2">
      <c r="A160" s="1" t="s">
        <v>20</v>
      </c>
      <c r="B160" s="1" t="s">
        <v>164</v>
      </c>
      <c r="C160" s="1">
        <v>11</v>
      </c>
      <c r="D160" s="1" t="s">
        <v>82</v>
      </c>
      <c r="E160" s="2">
        <v>42187</v>
      </c>
      <c r="F160" s="2">
        <v>42187</v>
      </c>
      <c r="G160" s="1">
        <v>6.0540000000000003</v>
      </c>
      <c r="H160" s="1">
        <v>3.4889999999999999</v>
      </c>
      <c r="I160" s="15">
        <f>AVERAGE(7.59,7.89,7.8)</f>
        <v>7.7600000000000007</v>
      </c>
    </row>
    <row r="161" spans="1:9" x14ac:dyDescent="0.2">
      <c r="A161" s="1" t="s">
        <v>20</v>
      </c>
      <c r="B161" s="1" t="s">
        <v>164</v>
      </c>
      <c r="C161" s="1">
        <v>12</v>
      </c>
      <c r="D161" s="1" t="s">
        <v>90</v>
      </c>
      <c r="E161" s="2">
        <v>42187</v>
      </c>
      <c r="F161" s="2">
        <v>42187</v>
      </c>
      <c r="G161" s="1">
        <v>26.760999999999999</v>
      </c>
      <c r="H161" s="1">
        <v>20</v>
      </c>
      <c r="I161" s="15">
        <f>AVERAGE(13.94,14.82,14.01)</f>
        <v>14.256666666666666</v>
      </c>
    </row>
    <row r="162" spans="1:9" x14ac:dyDescent="0.2">
      <c r="A162" s="1" t="s">
        <v>20</v>
      </c>
      <c r="B162" s="1" t="s">
        <v>164</v>
      </c>
      <c r="C162" s="1">
        <v>45</v>
      </c>
      <c r="D162" s="1" t="s">
        <v>165</v>
      </c>
      <c r="E162" s="2">
        <v>42187</v>
      </c>
      <c r="F162" s="2">
        <v>42187</v>
      </c>
      <c r="G162" s="1">
        <v>10.039</v>
      </c>
      <c r="H162" s="1">
        <v>5.72</v>
      </c>
      <c r="I162" s="15">
        <f>AVERAGE(8.2,8.16,7.77)</f>
        <v>8.043333333333333</v>
      </c>
    </row>
    <row r="163" spans="1:9" x14ac:dyDescent="0.2">
      <c r="A163" s="1" t="s">
        <v>20</v>
      </c>
      <c r="B163" s="1" t="s">
        <v>109</v>
      </c>
      <c r="C163" s="1">
        <v>4</v>
      </c>
      <c r="D163" s="1" t="s">
        <v>129</v>
      </c>
      <c r="E163" s="2">
        <v>42164</v>
      </c>
      <c r="F163" s="2">
        <v>42164</v>
      </c>
      <c r="G163" s="1">
        <f>10.061+8.385</f>
        <v>18.445999999999998</v>
      </c>
      <c r="H163" s="1">
        <v>12.795</v>
      </c>
      <c r="I163" s="15"/>
    </row>
    <row r="164" spans="1:9" x14ac:dyDescent="0.2">
      <c r="A164" s="1" t="s">
        <v>20</v>
      </c>
      <c r="B164" s="1" t="s">
        <v>109</v>
      </c>
      <c r="C164" s="1">
        <v>5</v>
      </c>
      <c r="D164" s="1" t="s">
        <v>123</v>
      </c>
      <c r="E164" s="2">
        <v>42164</v>
      </c>
      <c r="F164" s="2">
        <v>42164</v>
      </c>
      <c r="G164" s="1">
        <f>10.27+9.087</f>
        <v>19.356999999999999</v>
      </c>
      <c r="H164" s="1">
        <v>11.492000000000001</v>
      </c>
      <c r="I164" s="15"/>
    </row>
    <row r="165" spans="1:9" x14ac:dyDescent="0.2">
      <c r="A165" s="1" t="s">
        <v>20</v>
      </c>
      <c r="B165" s="1" t="s">
        <v>109</v>
      </c>
      <c r="C165" s="5">
        <v>6</v>
      </c>
      <c r="D165" s="1" t="s">
        <v>123</v>
      </c>
      <c r="E165" s="2">
        <v>42164</v>
      </c>
      <c r="F165" s="2">
        <v>42164</v>
      </c>
      <c r="G165" s="1">
        <v>18.654</v>
      </c>
      <c r="H165" s="1">
        <v>10.765000000000001</v>
      </c>
      <c r="I165" s="15"/>
    </row>
    <row r="166" spans="1:9" x14ac:dyDescent="0.2">
      <c r="A166" s="1" t="s">
        <v>20</v>
      </c>
      <c r="B166" s="1" t="s">
        <v>109</v>
      </c>
      <c r="C166" s="1">
        <v>8</v>
      </c>
      <c r="D166" s="1" t="s">
        <v>93</v>
      </c>
      <c r="E166" s="2">
        <v>42164</v>
      </c>
      <c r="F166" s="2">
        <v>42164</v>
      </c>
      <c r="G166" s="1">
        <f>6.629+6.143</f>
        <v>12.771999999999998</v>
      </c>
      <c r="H166" s="1">
        <v>6.0860000000000003</v>
      </c>
      <c r="I166" s="15"/>
    </row>
    <row r="167" spans="1:9" x14ac:dyDescent="0.2">
      <c r="A167" s="1" t="s">
        <v>20</v>
      </c>
      <c r="B167" s="1" t="s">
        <v>109</v>
      </c>
      <c r="C167" s="1">
        <v>13</v>
      </c>
      <c r="D167" s="1" t="s">
        <v>124</v>
      </c>
      <c r="E167" s="2">
        <v>42164</v>
      </c>
      <c r="F167" s="2">
        <v>42164</v>
      </c>
      <c r="G167" s="1">
        <f>2.872+3.046</f>
        <v>5.9179999999999993</v>
      </c>
      <c r="H167" s="1">
        <v>3.2250000000000001</v>
      </c>
      <c r="I167" s="15"/>
    </row>
    <row r="168" spans="1:9" x14ac:dyDescent="0.2">
      <c r="A168" s="1" t="s">
        <v>20</v>
      </c>
      <c r="B168" s="1" t="s">
        <v>109</v>
      </c>
      <c r="C168" s="1">
        <v>21</v>
      </c>
      <c r="D168" s="1" t="s">
        <v>57</v>
      </c>
      <c r="E168" s="2">
        <v>42164</v>
      </c>
      <c r="F168" s="2">
        <v>42164</v>
      </c>
      <c r="G168" s="1">
        <v>8.1379999999999999</v>
      </c>
      <c r="H168" s="1">
        <v>5.28</v>
      </c>
      <c r="I168" s="15"/>
    </row>
    <row r="169" spans="1:9" x14ac:dyDescent="0.2">
      <c r="A169" s="1" t="s">
        <v>20</v>
      </c>
      <c r="B169" s="1" t="s">
        <v>109</v>
      </c>
      <c r="C169" s="1">
        <v>21</v>
      </c>
      <c r="D169" s="1" t="s">
        <v>57</v>
      </c>
      <c r="E169" s="2">
        <v>42164</v>
      </c>
      <c r="F169" s="2">
        <v>42164</v>
      </c>
      <c r="G169" s="1">
        <v>7.4450000000000003</v>
      </c>
      <c r="H169" s="1">
        <v>4.46</v>
      </c>
      <c r="I169" s="15"/>
    </row>
    <row r="170" spans="1:9" x14ac:dyDescent="0.2">
      <c r="A170" s="1" t="s">
        <v>20</v>
      </c>
      <c r="B170" s="1" t="s">
        <v>109</v>
      </c>
      <c r="C170" s="5">
        <v>37</v>
      </c>
      <c r="D170" s="1" t="s">
        <v>75</v>
      </c>
      <c r="E170" s="2">
        <v>42164</v>
      </c>
      <c r="F170" s="2">
        <v>42164</v>
      </c>
      <c r="G170" s="1">
        <v>39.271000000000001</v>
      </c>
      <c r="H170" s="1">
        <v>19.991</v>
      </c>
      <c r="I170" s="15"/>
    </row>
    <row r="171" spans="1:9" x14ac:dyDescent="0.2">
      <c r="A171" s="1" t="s">
        <v>20</v>
      </c>
      <c r="B171" s="1" t="s">
        <v>109</v>
      </c>
      <c r="C171" s="1">
        <v>59</v>
      </c>
      <c r="D171" s="1" t="s">
        <v>85</v>
      </c>
      <c r="E171" s="2">
        <v>42164</v>
      </c>
      <c r="F171" s="2">
        <v>42164</v>
      </c>
      <c r="G171" s="1">
        <v>22.036000000000001</v>
      </c>
      <c r="H171" s="1">
        <v>11.069000000000001</v>
      </c>
      <c r="I171" s="15"/>
    </row>
    <row r="172" spans="1:9" x14ac:dyDescent="0.2">
      <c r="A172" s="1" t="s">
        <v>20</v>
      </c>
      <c r="B172" s="1" t="s">
        <v>109</v>
      </c>
      <c r="C172" s="5">
        <v>66</v>
      </c>
      <c r="D172" s="1" t="s">
        <v>87</v>
      </c>
      <c r="E172" s="2">
        <v>42164</v>
      </c>
      <c r="F172" s="2">
        <v>42164</v>
      </c>
      <c r="G172" s="1">
        <f>17.376+15.251</f>
        <v>32.627000000000002</v>
      </c>
      <c r="H172" s="1">
        <v>12.795</v>
      </c>
      <c r="I172" s="15"/>
    </row>
    <row r="173" spans="1:9" x14ac:dyDescent="0.2">
      <c r="A173" s="1" t="s">
        <v>20</v>
      </c>
      <c r="B173" s="1" t="s">
        <v>109</v>
      </c>
      <c r="C173" s="1">
        <v>86</v>
      </c>
      <c r="D173" s="1" t="s">
        <v>125</v>
      </c>
      <c r="E173" s="2">
        <v>42164</v>
      </c>
      <c r="F173" s="2">
        <v>42164</v>
      </c>
      <c r="G173" s="1">
        <f>6.022+6.006</f>
        <v>12.028</v>
      </c>
      <c r="H173" s="1">
        <v>7.4329999999999998</v>
      </c>
      <c r="I173" s="15"/>
    </row>
    <row r="174" spans="1:9" x14ac:dyDescent="0.2">
      <c r="A174" s="1" t="s">
        <v>20</v>
      </c>
      <c r="B174" s="1" t="s">
        <v>109</v>
      </c>
      <c r="C174" s="1">
        <v>90</v>
      </c>
      <c r="D174" s="1" t="s">
        <v>52</v>
      </c>
      <c r="E174" s="2">
        <v>42164</v>
      </c>
      <c r="F174" s="2">
        <v>42164</v>
      </c>
      <c r="G174" s="1">
        <f>19.788+19.251</f>
        <v>39.039000000000001</v>
      </c>
      <c r="H174" s="1">
        <v>17.591999999999999</v>
      </c>
      <c r="I174" s="15"/>
    </row>
    <row r="175" spans="1:9" x14ac:dyDescent="0.2">
      <c r="A175" s="1" t="s">
        <v>20</v>
      </c>
      <c r="B175" s="1" t="s">
        <v>109</v>
      </c>
      <c r="C175" s="1">
        <v>90</v>
      </c>
      <c r="D175" s="1" t="s">
        <v>52</v>
      </c>
      <c r="E175" s="2">
        <v>42164</v>
      </c>
      <c r="F175" s="2">
        <v>42164</v>
      </c>
      <c r="G175" s="1">
        <v>18.094999999999999</v>
      </c>
      <c r="H175" s="1">
        <v>7.5730000000000004</v>
      </c>
      <c r="I175" s="15"/>
    </row>
    <row r="176" spans="1:9" x14ac:dyDescent="0.2">
      <c r="A176" s="1" t="s">
        <v>20</v>
      </c>
      <c r="B176" s="1" t="s">
        <v>109</v>
      </c>
      <c r="C176" s="1">
        <v>128</v>
      </c>
      <c r="D176" s="1" t="s">
        <v>126</v>
      </c>
      <c r="E176" s="2">
        <v>42164</v>
      </c>
      <c r="F176" s="2">
        <v>42164</v>
      </c>
      <c r="G176" s="1">
        <f>4.831+4.411</f>
        <v>9.2420000000000009</v>
      </c>
      <c r="H176" s="1">
        <v>4.45</v>
      </c>
      <c r="I176" s="15"/>
    </row>
    <row r="177" spans="1:9" x14ac:dyDescent="0.2">
      <c r="A177" s="1" t="s">
        <v>20</v>
      </c>
      <c r="B177" s="1" t="s">
        <v>109</v>
      </c>
      <c r="C177" s="1">
        <v>147</v>
      </c>
      <c r="D177" s="1" t="s">
        <v>127</v>
      </c>
      <c r="E177" s="2">
        <v>42164</v>
      </c>
      <c r="F177" s="2">
        <v>42164</v>
      </c>
      <c r="G177" s="1">
        <f>3.658+3.65</f>
        <v>7.3079999999999998</v>
      </c>
      <c r="H177" s="1">
        <v>3.3610000000000002</v>
      </c>
      <c r="I177" s="15"/>
    </row>
    <row r="178" spans="1:9" x14ac:dyDescent="0.2">
      <c r="A178" s="1" t="s">
        <v>20</v>
      </c>
      <c r="B178" s="1" t="s">
        <v>27</v>
      </c>
      <c r="C178" s="1">
        <v>2</v>
      </c>
      <c r="D178" s="1" t="s">
        <v>76</v>
      </c>
      <c r="E178" s="2">
        <v>42137</v>
      </c>
      <c r="F178" s="2">
        <v>42149</v>
      </c>
      <c r="G178" s="4">
        <v>6.61</v>
      </c>
      <c r="H178" s="4">
        <v>5.032</v>
      </c>
      <c r="I178" s="15"/>
    </row>
    <row r="179" spans="1:9" x14ac:dyDescent="0.2">
      <c r="A179" s="1" t="s">
        <v>20</v>
      </c>
      <c r="B179" s="1" t="s">
        <v>27</v>
      </c>
      <c r="C179" s="1">
        <v>12</v>
      </c>
      <c r="D179" s="1" t="s">
        <v>50</v>
      </c>
      <c r="E179" s="2">
        <v>42137</v>
      </c>
      <c r="F179" s="2">
        <v>42149</v>
      </c>
      <c r="G179" s="4">
        <v>8.01</v>
      </c>
      <c r="H179" s="4">
        <v>3.8149999999999999</v>
      </c>
      <c r="I179" s="15"/>
    </row>
    <row r="180" spans="1:9" x14ac:dyDescent="0.2">
      <c r="A180" s="1" t="s">
        <v>20</v>
      </c>
      <c r="B180" s="1" t="s">
        <v>27</v>
      </c>
      <c r="C180" s="1" t="s">
        <v>28</v>
      </c>
      <c r="D180" s="1" t="s">
        <v>85</v>
      </c>
      <c r="E180" s="2">
        <v>42137</v>
      </c>
      <c r="F180" s="2">
        <v>42149</v>
      </c>
      <c r="G180" s="4">
        <v>8.75</v>
      </c>
      <c r="H180" s="4">
        <v>3.95</v>
      </c>
      <c r="I180" s="15"/>
    </row>
    <row r="181" spans="1:9" x14ac:dyDescent="0.2">
      <c r="A181" s="1" t="s">
        <v>20</v>
      </c>
      <c r="B181" s="1" t="s">
        <v>27</v>
      </c>
      <c r="C181" s="1" t="s">
        <v>29</v>
      </c>
      <c r="D181" s="1" t="s">
        <v>77</v>
      </c>
      <c r="E181" s="2">
        <v>42137</v>
      </c>
      <c r="F181" s="2">
        <v>42149</v>
      </c>
      <c r="G181" s="4">
        <v>4.07</v>
      </c>
      <c r="H181" s="4">
        <v>1.982</v>
      </c>
      <c r="I181" s="15"/>
    </row>
    <row r="182" spans="1:9" x14ac:dyDescent="0.2">
      <c r="A182" s="1" t="s">
        <v>20</v>
      </c>
      <c r="B182" s="1" t="s">
        <v>198</v>
      </c>
      <c r="C182" s="1">
        <v>3</v>
      </c>
      <c r="D182" s="1" t="s">
        <v>49</v>
      </c>
      <c r="E182" s="2">
        <v>42207</v>
      </c>
      <c r="F182" s="2">
        <v>42207</v>
      </c>
      <c r="G182" s="1">
        <v>12.33</v>
      </c>
      <c r="H182" s="1">
        <v>8.9030000000000005</v>
      </c>
      <c r="I182" s="15">
        <f>AVERAGE(9.3,9.24,9.8)</f>
        <v>9.4466666666666672</v>
      </c>
    </row>
    <row r="183" spans="1:9" x14ac:dyDescent="0.2">
      <c r="A183" s="1" t="s">
        <v>20</v>
      </c>
      <c r="B183" s="1" t="s">
        <v>198</v>
      </c>
      <c r="C183" s="1">
        <v>35</v>
      </c>
      <c r="D183" s="1" t="s">
        <v>204</v>
      </c>
      <c r="E183" s="2">
        <v>42207</v>
      </c>
      <c r="F183" s="2">
        <v>42207</v>
      </c>
      <c r="G183" s="1">
        <v>3.036</v>
      </c>
      <c r="H183" s="1">
        <v>1.5149999999999999</v>
      </c>
      <c r="I183" s="15">
        <f>AVERAGE(4.87,5.31,3.87)</f>
        <v>4.6833333333333336</v>
      </c>
    </row>
    <row r="184" spans="1:9" x14ac:dyDescent="0.2">
      <c r="A184" s="1" t="s">
        <v>20</v>
      </c>
      <c r="B184" s="1" t="s">
        <v>198</v>
      </c>
      <c r="C184" s="1">
        <v>37</v>
      </c>
      <c r="D184" s="1" t="s">
        <v>206</v>
      </c>
      <c r="E184" s="2">
        <v>42207</v>
      </c>
      <c r="F184" s="2">
        <v>42207</v>
      </c>
      <c r="G184" s="1">
        <f>8.139+4.092</f>
        <v>12.230999999999998</v>
      </c>
      <c r="H184" s="1">
        <v>8.2919999999999998</v>
      </c>
      <c r="I184" s="15">
        <f>AVERAGE(8.27,8.9,8.61)</f>
        <v>8.5933333333333337</v>
      </c>
    </row>
    <row r="185" spans="1:9" x14ac:dyDescent="0.2">
      <c r="A185" s="1" t="s">
        <v>20</v>
      </c>
      <c r="B185" s="1" t="s">
        <v>198</v>
      </c>
      <c r="C185" s="1">
        <v>57</v>
      </c>
      <c r="D185" s="1" t="s">
        <v>177</v>
      </c>
      <c r="E185" s="2">
        <v>42207</v>
      </c>
      <c r="F185" s="2">
        <v>42207</v>
      </c>
      <c r="G185" s="1">
        <f>6.163+5.665</f>
        <v>11.827999999999999</v>
      </c>
      <c r="H185" s="1">
        <v>3.8079999999999998</v>
      </c>
      <c r="I185" s="15">
        <f>AVERAGE(6.59,6.53,6.38,9.98,7.77,7.63)</f>
        <v>7.48</v>
      </c>
    </row>
    <row r="186" spans="1:9" x14ac:dyDescent="0.2">
      <c r="A186" s="1" t="s">
        <v>20</v>
      </c>
      <c r="B186" s="1" t="s">
        <v>198</v>
      </c>
      <c r="C186" s="1">
        <v>67</v>
      </c>
      <c r="D186" s="1" t="s">
        <v>205</v>
      </c>
      <c r="E186" s="2">
        <v>42207</v>
      </c>
      <c r="F186" s="2">
        <v>42207</v>
      </c>
      <c r="G186" s="1">
        <f>5.006+7.907</f>
        <v>12.913</v>
      </c>
      <c r="H186" s="1">
        <v>5.9909999999999997</v>
      </c>
      <c r="I186" s="15">
        <f>AVERAGE(7.99,7.33,7.95,6.94,6.56,6.12)</f>
        <v>7.1483333333333334</v>
      </c>
    </row>
    <row r="187" spans="1:9" x14ac:dyDescent="0.2">
      <c r="A187" s="1" t="s">
        <v>20</v>
      </c>
      <c r="B187" s="1" t="s">
        <v>198</v>
      </c>
      <c r="C187" s="1">
        <v>69</v>
      </c>
      <c r="D187" s="1" t="s">
        <v>96</v>
      </c>
      <c r="E187" s="2">
        <v>42207</v>
      </c>
      <c r="F187" s="2">
        <v>42207</v>
      </c>
      <c r="G187" s="1">
        <v>14.472</v>
      </c>
      <c r="H187" s="1">
        <v>8.2560000000000002</v>
      </c>
      <c r="I187" s="15">
        <f>AVERAGE(9.31,9.12,10.43)</f>
        <v>9.6199999999999992</v>
      </c>
    </row>
    <row r="188" spans="1:9" x14ac:dyDescent="0.2">
      <c r="A188" s="1" t="s">
        <v>20</v>
      </c>
      <c r="B188" s="1" t="s">
        <v>162</v>
      </c>
      <c r="C188" s="1">
        <v>17</v>
      </c>
      <c r="D188" s="1" t="s">
        <v>182</v>
      </c>
      <c r="E188" s="2">
        <v>42179</v>
      </c>
      <c r="F188" s="2">
        <v>42179</v>
      </c>
      <c r="G188" s="1">
        <f>8.43+5.839</f>
        <v>14.269</v>
      </c>
      <c r="H188" s="1">
        <v>7.7030000000000003</v>
      </c>
      <c r="I188" s="15">
        <f>AVERAGE(9.15,9.1,9.76)</f>
        <v>9.336666666666666</v>
      </c>
    </row>
    <row r="189" spans="1:9" x14ac:dyDescent="0.2">
      <c r="A189" s="1" t="s">
        <v>20</v>
      </c>
      <c r="B189" s="1" t="s">
        <v>162</v>
      </c>
      <c r="C189" s="1">
        <v>50</v>
      </c>
      <c r="D189" s="1" t="s">
        <v>53</v>
      </c>
      <c r="E189" s="2">
        <v>42179</v>
      </c>
      <c r="F189" s="2">
        <v>42179</v>
      </c>
      <c r="G189" s="1">
        <v>23.774000000000001</v>
      </c>
      <c r="H189" s="1">
        <v>11.077</v>
      </c>
      <c r="I189" s="15">
        <f>AVERAGE(11.65,11.49,11.7)</f>
        <v>11.613333333333335</v>
      </c>
    </row>
    <row r="190" spans="1:9" x14ac:dyDescent="0.2">
      <c r="A190" s="1" t="s">
        <v>20</v>
      </c>
      <c r="B190" s="1" t="s">
        <v>162</v>
      </c>
      <c r="C190" s="1">
        <v>63</v>
      </c>
      <c r="D190" s="1" t="s">
        <v>101</v>
      </c>
      <c r="E190" s="2">
        <v>42179</v>
      </c>
      <c r="F190" s="2">
        <v>42179</v>
      </c>
      <c r="G190" s="1">
        <f>20.877+15.937</f>
        <v>36.814</v>
      </c>
      <c r="H190" s="1">
        <v>13.51</v>
      </c>
      <c r="I190" s="15">
        <f>AVERAGE(12.33,11.89,11.8,12.2,11.09)</f>
        <v>11.862</v>
      </c>
    </row>
    <row r="191" spans="1:9" x14ac:dyDescent="0.2">
      <c r="A191" s="1" t="s">
        <v>20</v>
      </c>
      <c r="B191" s="1" t="s">
        <v>162</v>
      </c>
      <c r="C191" s="1">
        <v>111</v>
      </c>
      <c r="D191" s="1" t="s">
        <v>181</v>
      </c>
      <c r="E191" s="2">
        <v>42179</v>
      </c>
      <c r="F191" s="2">
        <v>42179</v>
      </c>
      <c r="G191" s="1">
        <v>19.155000000000001</v>
      </c>
      <c r="H191" s="1">
        <v>10.193</v>
      </c>
      <c r="I191" s="15">
        <f>AVERAGE(10.3,10.83,11.37)</f>
        <v>10.833333333333334</v>
      </c>
    </row>
    <row r="192" spans="1:9" x14ac:dyDescent="0.2">
      <c r="A192" s="1" t="s">
        <v>20</v>
      </c>
      <c r="B192" s="1" t="s">
        <v>187</v>
      </c>
      <c r="C192" s="1">
        <v>10</v>
      </c>
      <c r="D192" s="1" t="s">
        <v>196</v>
      </c>
      <c r="E192" s="2">
        <v>42191</v>
      </c>
      <c r="F192" s="2">
        <v>42192</v>
      </c>
      <c r="G192" s="1">
        <v>16.238</v>
      </c>
      <c r="H192" s="1">
        <v>9.0239999999999991</v>
      </c>
      <c r="I192" s="15">
        <f>AVERAGE(11.41,10.64,10.14)</f>
        <v>10.729999999999999</v>
      </c>
    </row>
    <row r="193" spans="1:11" x14ac:dyDescent="0.2">
      <c r="A193" s="1" t="s">
        <v>20</v>
      </c>
      <c r="B193" s="1" t="s">
        <v>187</v>
      </c>
      <c r="C193" s="1" t="s">
        <v>188</v>
      </c>
      <c r="D193" s="1" t="s">
        <v>197</v>
      </c>
      <c r="E193" s="2">
        <v>42191</v>
      </c>
      <c r="F193" s="2">
        <v>42192</v>
      </c>
      <c r="G193" s="1">
        <f>17.75+18.307</f>
        <v>36.057000000000002</v>
      </c>
      <c r="H193" s="1">
        <v>15.12</v>
      </c>
      <c r="I193" s="15">
        <f>AVERAGE(14.04,14.46,13.44)</f>
        <v>13.979999999999999</v>
      </c>
    </row>
    <row r="194" spans="1:11" x14ac:dyDescent="0.2">
      <c r="A194" s="1" t="s">
        <v>20</v>
      </c>
      <c r="B194" s="1" t="s">
        <v>187</v>
      </c>
      <c r="C194" s="1" t="s">
        <v>189</v>
      </c>
      <c r="D194" s="1" t="s">
        <v>189</v>
      </c>
      <c r="E194" s="2">
        <v>42191</v>
      </c>
      <c r="F194" s="2">
        <v>42192</v>
      </c>
      <c r="G194" s="1">
        <v>24.172999999999998</v>
      </c>
      <c r="H194" s="1">
        <v>13.743</v>
      </c>
      <c r="I194" s="15">
        <f>AVERAGE(17.84,15.4)</f>
        <v>16.62</v>
      </c>
      <c r="J194" s="21" t="s">
        <v>281</v>
      </c>
      <c r="K194" s="21"/>
    </row>
    <row r="195" spans="1:11" x14ac:dyDescent="0.2">
      <c r="A195" s="1" t="s">
        <v>20</v>
      </c>
      <c r="B195" s="1" t="s">
        <v>163</v>
      </c>
      <c r="C195" s="1">
        <v>11</v>
      </c>
      <c r="D195" s="1" t="s">
        <v>167</v>
      </c>
      <c r="E195" s="2">
        <v>42185</v>
      </c>
      <c r="F195" s="2">
        <v>42185</v>
      </c>
      <c r="G195" s="1">
        <f>13.61+11.76+11.912</f>
        <v>37.281999999999996</v>
      </c>
      <c r="H195" s="1">
        <v>30.510999999999999</v>
      </c>
      <c r="I195" s="15">
        <f>AVERAGE(11.18,10.44,11.1)</f>
        <v>10.906666666666666</v>
      </c>
    </row>
    <row r="196" spans="1:11" x14ac:dyDescent="0.2">
      <c r="A196" s="1" t="s">
        <v>20</v>
      </c>
      <c r="B196" s="1" t="s">
        <v>163</v>
      </c>
      <c r="C196" s="1">
        <v>42</v>
      </c>
      <c r="D196" s="1" t="s">
        <v>168</v>
      </c>
      <c r="E196" s="2">
        <v>42185</v>
      </c>
      <c r="F196" s="2">
        <v>42185</v>
      </c>
      <c r="G196" s="1">
        <v>12.9</v>
      </c>
      <c r="H196" s="1">
        <v>5.8650000000000002</v>
      </c>
      <c r="I196" s="15">
        <f>AVERAGE(8.78,7.65,8.01)</f>
        <v>8.1466666666666665</v>
      </c>
    </row>
    <row r="197" spans="1:11" x14ac:dyDescent="0.2">
      <c r="A197" s="1" t="s">
        <v>20</v>
      </c>
      <c r="B197" s="1" t="s">
        <v>163</v>
      </c>
      <c r="C197" s="1">
        <v>71</v>
      </c>
      <c r="D197" s="1" t="s">
        <v>88</v>
      </c>
      <c r="E197" s="2">
        <v>42185</v>
      </c>
      <c r="F197" s="2">
        <v>42185</v>
      </c>
      <c r="G197" s="1">
        <v>14.045999999999999</v>
      </c>
      <c r="H197" s="1">
        <v>6.16</v>
      </c>
      <c r="I197" s="15">
        <f>AVERAGE(9.62,9.05,9.72)</f>
        <v>9.4633333333333329</v>
      </c>
    </row>
    <row r="198" spans="1:11" x14ac:dyDescent="0.2">
      <c r="A198" s="1" t="s">
        <v>20</v>
      </c>
      <c r="B198" s="1" t="s">
        <v>186</v>
      </c>
      <c r="C198" s="1">
        <v>6</v>
      </c>
      <c r="D198" s="1" t="s">
        <v>195</v>
      </c>
      <c r="E198" s="2">
        <v>42188</v>
      </c>
      <c r="F198" s="2">
        <v>42192</v>
      </c>
      <c r="G198" s="1">
        <f>5.123+4.122</f>
        <v>9.245000000000001</v>
      </c>
      <c r="H198" s="1">
        <v>4.4569999999999999</v>
      </c>
      <c r="I198" s="15">
        <f>AVERAGE(7.29,6.93,7.97)</f>
        <v>7.3966666666666656</v>
      </c>
    </row>
    <row r="199" spans="1:11" x14ac:dyDescent="0.2">
      <c r="A199" s="1" t="s">
        <v>20</v>
      </c>
      <c r="B199" s="1" t="s">
        <v>183</v>
      </c>
      <c r="C199" s="1">
        <v>14</v>
      </c>
      <c r="D199" s="1" t="s">
        <v>191</v>
      </c>
      <c r="E199" s="2">
        <v>42188</v>
      </c>
      <c r="F199" s="2">
        <v>42192</v>
      </c>
      <c r="G199" s="1">
        <f>14.613+11.36</f>
        <v>25.972999999999999</v>
      </c>
      <c r="H199" s="1">
        <f>5.292+6.865</f>
        <v>12.157</v>
      </c>
      <c r="I199" s="15">
        <f>AVERAGE(10.51,9.59,9.26)</f>
        <v>9.7866666666666671</v>
      </c>
    </row>
    <row r="200" spans="1:11" x14ac:dyDescent="0.2">
      <c r="A200" s="1" t="s">
        <v>20</v>
      </c>
      <c r="B200" s="1" t="s">
        <v>183</v>
      </c>
      <c r="C200" s="1">
        <v>29</v>
      </c>
      <c r="D200" s="1" t="s">
        <v>101</v>
      </c>
      <c r="E200" s="2">
        <v>42188</v>
      </c>
      <c r="F200" s="2">
        <v>42192</v>
      </c>
      <c r="G200" s="1">
        <f>17.431+19.041</f>
        <v>36.472000000000001</v>
      </c>
      <c r="H200" s="1">
        <v>14.891999999999999</v>
      </c>
      <c r="I200" s="15">
        <f>AVERAGE(12.13,11.7,12.44)</f>
        <v>12.089999999999998</v>
      </c>
    </row>
    <row r="201" spans="1:11" x14ac:dyDescent="0.2">
      <c r="A201" s="1" t="s">
        <v>20</v>
      </c>
      <c r="B201" s="1" t="s">
        <v>183</v>
      </c>
      <c r="C201" s="1" t="s">
        <v>184</v>
      </c>
      <c r="D201" s="1" t="s">
        <v>184</v>
      </c>
      <c r="E201" s="2">
        <v>42188</v>
      </c>
      <c r="F201" s="2">
        <v>42192</v>
      </c>
      <c r="G201" s="1">
        <f>7.72+7.474</f>
        <v>15.193999999999999</v>
      </c>
      <c r="H201" s="1">
        <v>7.2480000000000002</v>
      </c>
      <c r="I201" s="15">
        <f>AVERAGE(8.72,8.4,8.69)</f>
        <v>8.6033333333333335</v>
      </c>
    </row>
    <row r="202" spans="1:11" x14ac:dyDescent="0.2">
      <c r="A202" s="1" t="s">
        <v>20</v>
      </c>
      <c r="B202" s="1" t="s">
        <v>185</v>
      </c>
      <c r="C202" s="1">
        <v>7</v>
      </c>
      <c r="D202" s="1" t="s">
        <v>194</v>
      </c>
      <c r="E202" s="2">
        <v>42188</v>
      </c>
      <c r="F202" s="2">
        <v>42192</v>
      </c>
      <c r="G202" s="1">
        <f>7.794+6.059</f>
        <v>13.853</v>
      </c>
      <c r="H202" s="1">
        <v>7.5709999999999997</v>
      </c>
      <c r="I202" s="15">
        <f>AVERAGE(8.07,7.62,8.13)</f>
        <v>7.94</v>
      </c>
    </row>
    <row r="203" spans="1:11" x14ac:dyDescent="0.2">
      <c r="A203" s="1" t="s">
        <v>20</v>
      </c>
      <c r="B203" s="1" t="s">
        <v>185</v>
      </c>
      <c r="C203" s="1">
        <v>9</v>
      </c>
      <c r="D203" s="1" t="s">
        <v>135</v>
      </c>
      <c r="E203" s="2">
        <v>42188</v>
      </c>
      <c r="F203" s="2">
        <v>42192</v>
      </c>
      <c r="G203" s="1">
        <v>18</v>
      </c>
      <c r="H203" s="1">
        <v>8.8239999999999998</v>
      </c>
      <c r="I203" s="15">
        <f>AVERAGE(9.69,9.21,8.84)</f>
        <v>9.2466666666666661</v>
      </c>
    </row>
    <row r="204" spans="1:11" x14ac:dyDescent="0.2">
      <c r="A204" s="1" t="s">
        <v>20</v>
      </c>
      <c r="B204" s="1" t="s">
        <v>185</v>
      </c>
      <c r="C204" s="1">
        <v>13</v>
      </c>
      <c r="D204" s="1" t="s">
        <v>192</v>
      </c>
      <c r="E204" s="2">
        <v>42188</v>
      </c>
      <c r="F204" s="2">
        <v>42192</v>
      </c>
      <c r="G204" s="1">
        <f>10.841+9.521</f>
        <v>20.362000000000002</v>
      </c>
      <c r="H204" s="1">
        <v>8.2729999999999997</v>
      </c>
      <c r="I204" s="15">
        <f>AVERAGE(9.61,10.73,9.79)</f>
        <v>10.043333333333333</v>
      </c>
    </row>
    <row r="205" spans="1:11" x14ac:dyDescent="0.2">
      <c r="A205" s="1" t="s">
        <v>20</v>
      </c>
      <c r="B205" s="1" t="s">
        <v>185</v>
      </c>
      <c r="C205" s="1">
        <v>29</v>
      </c>
      <c r="D205" s="1" t="s">
        <v>193</v>
      </c>
      <c r="E205" s="2">
        <v>42188</v>
      </c>
      <c r="F205" s="2">
        <v>42192</v>
      </c>
      <c r="G205" s="1">
        <f>7.102+6.609</f>
        <v>13.711</v>
      </c>
      <c r="H205" s="1">
        <v>8.0670000000000002</v>
      </c>
      <c r="I205" s="15">
        <f>AVERAGE(9.17,9.28,9.1)</f>
        <v>9.1833333333333318</v>
      </c>
    </row>
    <row r="206" spans="1:11" x14ac:dyDescent="0.2">
      <c r="A206" s="1" t="s">
        <v>20</v>
      </c>
      <c r="B206" s="1" t="s">
        <v>26</v>
      </c>
      <c r="C206" s="1">
        <v>5</v>
      </c>
      <c r="D206" s="1" t="s">
        <v>54</v>
      </c>
      <c r="E206" s="2">
        <v>42137</v>
      </c>
      <c r="F206" s="2">
        <v>42149</v>
      </c>
      <c r="G206" s="4">
        <v>5</v>
      </c>
      <c r="H206" s="4">
        <v>2.21</v>
      </c>
      <c r="I206" s="15"/>
    </row>
    <row r="207" spans="1:11" x14ac:dyDescent="0.2">
      <c r="A207" s="1" t="s">
        <v>20</v>
      </c>
      <c r="B207" s="1" t="s">
        <v>26</v>
      </c>
      <c r="C207" s="1">
        <v>5</v>
      </c>
      <c r="D207" s="1" t="s">
        <v>54</v>
      </c>
      <c r="E207" s="2">
        <v>42137</v>
      </c>
      <c r="F207" s="2">
        <v>42149</v>
      </c>
      <c r="G207" s="4">
        <v>7</v>
      </c>
      <c r="H207" s="4">
        <v>3.625</v>
      </c>
      <c r="I207" s="15"/>
    </row>
    <row r="208" spans="1:11" x14ac:dyDescent="0.2">
      <c r="A208" s="1" t="s">
        <v>20</v>
      </c>
      <c r="B208" s="1" t="s">
        <v>26</v>
      </c>
      <c r="C208" s="1">
        <v>12</v>
      </c>
      <c r="D208" s="1" t="s">
        <v>50</v>
      </c>
      <c r="E208" s="2">
        <v>42137</v>
      </c>
      <c r="F208" s="2">
        <v>42149</v>
      </c>
      <c r="G208" s="4">
        <v>6</v>
      </c>
      <c r="H208" s="4">
        <v>2.5270000000000001</v>
      </c>
      <c r="I208" s="15"/>
    </row>
    <row r="209" spans="1:11" x14ac:dyDescent="0.2">
      <c r="A209" s="1" t="s">
        <v>20</v>
      </c>
      <c r="B209" s="1" t="s">
        <v>26</v>
      </c>
      <c r="C209" s="1">
        <v>77</v>
      </c>
      <c r="D209" s="1" t="s">
        <v>68</v>
      </c>
      <c r="E209" s="2">
        <v>42137</v>
      </c>
      <c r="F209" s="2">
        <v>42149</v>
      </c>
      <c r="G209" s="4">
        <v>10</v>
      </c>
      <c r="H209" s="4">
        <v>5.7690000000000001</v>
      </c>
      <c r="I209" s="15"/>
    </row>
    <row r="210" spans="1:11" x14ac:dyDescent="0.2">
      <c r="A210" s="1" t="s">
        <v>20</v>
      </c>
      <c r="B210" s="1" t="s">
        <v>26</v>
      </c>
      <c r="C210" s="1">
        <v>77</v>
      </c>
      <c r="D210" s="1" t="s">
        <v>68</v>
      </c>
      <c r="E210" s="2">
        <v>42137</v>
      </c>
      <c r="F210" s="2">
        <v>42149</v>
      </c>
      <c r="G210" s="4">
        <v>4.9800000000000004</v>
      </c>
      <c r="H210" s="4">
        <v>2.3969999999999998</v>
      </c>
      <c r="I210" s="15"/>
    </row>
    <row r="211" spans="1:11" x14ac:dyDescent="0.2">
      <c r="A211" s="1" t="s">
        <v>21</v>
      </c>
      <c r="B211" s="1" t="s">
        <v>22</v>
      </c>
      <c r="C211" s="1" t="s">
        <v>16</v>
      </c>
      <c r="D211" s="1" t="s">
        <v>25</v>
      </c>
      <c r="E211" s="2">
        <v>42108</v>
      </c>
      <c r="F211" s="2">
        <v>42108</v>
      </c>
      <c r="G211" s="4">
        <v>10.5</v>
      </c>
      <c r="H211" s="4">
        <v>2.98</v>
      </c>
      <c r="I211" s="15"/>
      <c r="J211" s="1" t="s">
        <v>14</v>
      </c>
    </row>
    <row r="212" spans="1:11" x14ac:dyDescent="0.2">
      <c r="A212" s="1" t="s">
        <v>21</v>
      </c>
      <c r="B212" s="1" t="s">
        <v>22</v>
      </c>
      <c r="C212" s="1" t="s">
        <v>17</v>
      </c>
      <c r="D212" s="1" t="s">
        <v>25</v>
      </c>
      <c r="E212" s="2">
        <v>42108</v>
      </c>
      <c r="F212" s="2">
        <v>42108</v>
      </c>
      <c r="G212" s="4">
        <v>6.5</v>
      </c>
      <c r="H212" s="4">
        <v>1.6040000000000001</v>
      </c>
      <c r="I212" s="15"/>
      <c r="J212" s="1" t="s">
        <v>14</v>
      </c>
    </row>
    <row r="213" spans="1:11" x14ac:dyDescent="0.2">
      <c r="A213" s="1" t="s">
        <v>21</v>
      </c>
      <c r="B213" s="1" t="s">
        <v>22</v>
      </c>
      <c r="C213" s="1" t="s">
        <v>15</v>
      </c>
      <c r="D213" s="1" t="s">
        <v>24</v>
      </c>
      <c r="E213" s="2">
        <v>42108</v>
      </c>
      <c r="F213" s="2">
        <v>42108</v>
      </c>
      <c r="G213" s="4">
        <v>29</v>
      </c>
      <c r="H213" s="4">
        <v>10.542</v>
      </c>
      <c r="I213" s="15"/>
      <c r="J213" s="1" t="s">
        <v>14</v>
      </c>
    </row>
    <row r="214" spans="1:11" x14ac:dyDescent="0.2">
      <c r="A214" s="1" t="s">
        <v>21</v>
      </c>
      <c r="B214" s="1" t="s">
        <v>22</v>
      </c>
      <c r="C214" s="1" t="s">
        <v>15</v>
      </c>
      <c r="D214" s="1" t="s">
        <v>24</v>
      </c>
      <c r="E214" s="2">
        <v>42140</v>
      </c>
      <c r="F214" s="2">
        <v>42140</v>
      </c>
      <c r="G214" s="1">
        <f>6.122+3.116+4.936</f>
        <v>14.173999999999999</v>
      </c>
      <c r="H214" s="1">
        <v>2.6040000000000001</v>
      </c>
      <c r="I214" s="15">
        <f>AVERAGE(9.73,7.76,6.89,7.14)</f>
        <v>7.8800000000000008</v>
      </c>
    </row>
    <row r="215" spans="1:11" x14ac:dyDescent="0.2">
      <c r="A215" s="1" t="s">
        <v>21</v>
      </c>
      <c r="B215" s="1" t="s">
        <v>22</v>
      </c>
      <c r="C215" s="1" t="s">
        <v>13</v>
      </c>
      <c r="D215" s="1" t="s">
        <v>84</v>
      </c>
      <c r="E215" s="2">
        <v>42108</v>
      </c>
      <c r="F215" s="2">
        <v>42108</v>
      </c>
      <c r="G215" s="4">
        <v>33</v>
      </c>
      <c r="H215" s="4">
        <v>20.677</v>
      </c>
      <c r="I215" s="15"/>
      <c r="J215" s="1" t="s">
        <v>14</v>
      </c>
    </row>
    <row r="216" spans="1:11" x14ac:dyDescent="0.2">
      <c r="A216" s="1" t="s">
        <v>20</v>
      </c>
      <c r="B216" s="1" t="s">
        <v>20</v>
      </c>
      <c r="C216" s="1" t="s">
        <v>190</v>
      </c>
      <c r="D216" s="1" t="s">
        <v>201</v>
      </c>
      <c r="E216" s="2">
        <v>42191</v>
      </c>
      <c r="F216" s="2">
        <v>42192</v>
      </c>
      <c r="G216" s="1">
        <f>11.991+13.515</f>
        <v>25.506</v>
      </c>
      <c r="H216" s="1">
        <v>9.8049999999999997</v>
      </c>
      <c r="I216" s="15">
        <f>AVERAGE(11.55,11.91,10.5)</f>
        <v>11.32</v>
      </c>
    </row>
    <row r="217" spans="1:11" x14ac:dyDescent="0.2">
      <c r="A217" s="1" t="s">
        <v>20</v>
      </c>
      <c r="B217" s="1" t="s">
        <v>211</v>
      </c>
      <c r="C217" s="1" t="s">
        <v>38</v>
      </c>
      <c r="D217" s="1" t="s">
        <v>73</v>
      </c>
      <c r="E217" s="2">
        <v>42152</v>
      </c>
      <c r="F217" s="2">
        <v>42152</v>
      </c>
      <c r="G217" s="4">
        <f>8.47+7.42</f>
        <v>15.89</v>
      </c>
      <c r="H217" s="4">
        <v>6.2251000000000003</v>
      </c>
      <c r="I217" s="15"/>
    </row>
    <row r="218" spans="1:11" x14ac:dyDescent="0.2">
      <c r="A218" s="1" t="s">
        <v>20</v>
      </c>
      <c r="B218" s="1" t="s">
        <v>211</v>
      </c>
      <c r="C218" s="1" t="s">
        <v>37</v>
      </c>
      <c r="D218" s="1" t="s">
        <v>73</v>
      </c>
      <c r="E218" s="2">
        <v>42152</v>
      </c>
      <c r="F218" s="2">
        <v>42152</v>
      </c>
      <c r="G218" s="4">
        <v>17.59</v>
      </c>
      <c r="H218" s="4">
        <v>10.0314</v>
      </c>
      <c r="I218" s="15"/>
    </row>
    <row r="219" spans="1:11" x14ac:dyDescent="0.2">
      <c r="A219" s="1" t="s">
        <v>20</v>
      </c>
      <c r="B219" s="1" t="s">
        <v>116</v>
      </c>
      <c r="C219" s="1" t="s">
        <v>112</v>
      </c>
      <c r="D219" s="1" t="s">
        <v>130</v>
      </c>
      <c r="E219" s="2">
        <v>42165</v>
      </c>
      <c r="F219" s="2">
        <v>42165</v>
      </c>
      <c r="G219" s="1">
        <v>25.933</v>
      </c>
      <c r="H219" s="1">
        <v>18.012</v>
      </c>
      <c r="I219" s="15"/>
      <c r="J219" s="21" t="s">
        <v>280</v>
      </c>
      <c r="K219" s="21"/>
    </row>
    <row r="220" spans="1:11" x14ac:dyDescent="0.2">
      <c r="A220" s="1" t="s">
        <v>20</v>
      </c>
      <c r="B220" s="1" t="s">
        <v>116</v>
      </c>
      <c r="C220" s="1" t="s">
        <v>115</v>
      </c>
      <c r="D220" s="1" t="s">
        <v>100</v>
      </c>
      <c r="E220" s="2">
        <v>42165</v>
      </c>
      <c r="F220" s="2">
        <v>42165</v>
      </c>
      <c r="G220" s="1">
        <f>23.226+26.548+24.706+32.083+29.571+25.463+22.865+30.465</f>
        <v>214.92700000000002</v>
      </c>
      <c r="H220" s="1">
        <f>6.933+7.652+8.392+9.13+8.428+7.967+6.846+8.575</f>
        <v>63.923000000000002</v>
      </c>
      <c r="I220" s="15"/>
    </row>
    <row r="221" spans="1:11" x14ac:dyDescent="0.2">
      <c r="A221" s="1" t="s">
        <v>20</v>
      </c>
      <c r="B221" s="1" t="s">
        <v>116</v>
      </c>
      <c r="C221" s="1" t="s">
        <v>113</v>
      </c>
      <c r="D221" s="1" t="s">
        <v>135</v>
      </c>
      <c r="E221" s="2">
        <v>42165</v>
      </c>
      <c r="F221" s="2">
        <v>42165</v>
      </c>
      <c r="G221" s="1">
        <f>16.174+19.766</f>
        <v>35.94</v>
      </c>
      <c r="H221" s="1">
        <v>18.643000000000001</v>
      </c>
      <c r="I221" s="15"/>
    </row>
    <row r="222" spans="1:11" x14ac:dyDescent="0.2">
      <c r="A222" s="1" t="s">
        <v>20</v>
      </c>
      <c r="B222" s="1" t="s">
        <v>212</v>
      </c>
      <c r="C222" s="1" t="s">
        <v>110</v>
      </c>
      <c r="D222" s="1" t="s">
        <v>128</v>
      </c>
      <c r="E222" s="2">
        <v>42164</v>
      </c>
      <c r="F222" s="2">
        <v>42164</v>
      </c>
      <c r="G222" s="1">
        <f>9.453+7.809+7.627</f>
        <v>24.888999999999999</v>
      </c>
      <c r="H222" s="1">
        <v>19.155000000000001</v>
      </c>
      <c r="I222" s="15"/>
      <c r="J222" s="1" t="s">
        <v>148</v>
      </c>
    </row>
    <row r="223" spans="1:11" x14ac:dyDescent="0.2">
      <c r="A223" s="1" t="s">
        <v>20</v>
      </c>
      <c r="B223" s="1" t="s">
        <v>155</v>
      </c>
      <c r="C223" s="1" t="s">
        <v>154</v>
      </c>
      <c r="D223" s="1" t="s">
        <v>46</v>
      </c>
      <c r="E223" s="2">
        <v>42172</v>
      </c>
      <c r="F223" s="2">
        <v>42172</v>
      </c>
      <c r="G223" s="1">
        <f>10.345+10.151+14.357</f>
        <v>34.853000000000002</v>
      </c>
      <c r="H223" s="1">
        <v>19.263000000000002</v>
      </c>
      <c r="I223" s="15">
        <f>AVERAGE(12.36,11.2,12.09)</f>
        <v>11.883333333333333</v>
      </c>
    </row>
    <row r="224" spans="1:11" x14ac:dyDescent="0.2">
      <c r="A224" s="1" t="s">
        <v>20</v>
      </c>
      <c r="B224" s="1" t="s">
        <v>210</v>
      </c>
      <c r="C224" s="3" t="s">
        <v>39</v>
      </c>
      <c r="D224" s="1" t="s">
        <v>105</v>
      </c>
      <c r="E224" s="2">
        <v>42152</v>
      </c>
      <c r="F224" s="2">
        <v>42152</v>
      </c>
      <c r="G224" s="4">
        <f>3.91+4.47</f>
        <v>8.379999999999999</v>
      </c>
      <c r="H224" s="4">
        <v>5.1109</v>
      </c>
      <c r="I224" s="15"/>
    </row>
    <row r="225" spans="1:11" x14ac:dyDescent="0.2">
      <c r="A225" s="1" t="s">
        <v>20</v>
      </c>
      <c r="B225" s="1" t="s">
        <v>151</v>
      </c>
      <c r="C225" s="1" t="s">
        <v>110</v>
      </c>
      <c r="D225" s="1" t="s">
        <v>128</v>
      </c>
      <c r="E225" s="2">
        <v>42166</v>
      </c>
      <c r="F225" s="2">
        <v>42166</v>
      </c>
      <c r="G225" s="1">
        <f>6.63+5.915</f>
        <v>12.545</v>
      </c>
      <c r="H225" s="1">
        <v>8.8819999999999997</v>
      </c>
      <c r="I225" s="15"/>
      <c r="J225" s="1" t="s">
        <v>148</v>
      </c>
    </row>
    <row r="226" spans="1:11" x14ac:dyDescent="0.2">
      <c r="A226" s="1" t="s">
        <v>20</v>
      </c>
      <c r="B226" s="1" t="s">
        <v>108</v>
      </c>
      <c r="C226" s="5" t="s">
        <v>107</v>
      </c>
      <c r="D226" s="1" t="s">
        <v>93</v>
      </c>
      <c r="E226" s="2">
        <v>42163</v>
      </c>
      <c r="F226" s="2">
        <v>42163</v>
      </c>
      <c r="G226" s="1">
        <v>17.722999999999999</v>
      </c>
      <c r="H226" s="1">
        <v>9.4329999999999998</v>
      </c>
      <c r="I226" s="15"/>
    </row>
    <row r="227" spans="1:11" x14ac:dyDescent="0.2">
      <c r="A227" s="1" t="s">
        <v>20</v>
      </c>
      <c r="B227" s="1" t="s">
        <v>207</v>
      </c>
      <c r="C227" s="1" t="s">
        <v>208</v>
      </c>
      <c r="D227" s="1" t="s">
        <v>209</v>
      </c>
      <c r="E227" s="2">
        <v>42229</v>
      </c>
      <c r="F227" s="2">
        <v>42229</v>
      </c>
      <c r="G227" s="1">
        <v>17.193000000000001</v>
      </c>
      <c r="H227" s="1">
        <v>5.5979999999999999</v>
      </c>
      <c r="I227" s="15">
        <f>AVERAGE(10.6,10.58,11.58)</f>
        <v>10.92</v>
      </c>
    </row>
    <row r="228" spans="1:11" x14ac:dyDescent="0.2">
      <c r="A228" s="1" t="s">
        <v>21</v>
      </c>
      <c r="B228" s="1" t="s">
        <v>22</v>
      </c>
      <c r="C228" s="1" t="s">
        <v>15</v>
      </c>
      <c r="D228" s="1" t="s">
        <v>24</v>
      </c>
      <c r="E228" s="2">
        <v>42303</v>
      </c>
      <c r="F228" s="2">
        <v>42307</v>
      </c>
      <c r="G228" s="1">
        <v>11.76</v>
      </c>
      <c r="H228" s="1">
        <v>8.91</v>
      </c>
      <c r="I228" s="15">
        <f>AVERAGE(10.81,11.03,11.25)</f>
        <v>11.030000000000001</v>
      </c>
    </row>
    <row r="229" spans="1:11" x14ac:dyDescent="0.2">
      <c r="A229" s="1" t="s">
        <v>21</v>
      </c>
      <c r="B229" s="14" t="s">
        <v>268</v>
      </c>
      <c r="C229" s="14" t="s">
        <v>269</v>
      </c>
      <c r="D229" s="14" t="s">
        <v>269</v>
      </c>
      <c r="E229" s="2">
        <v>42310</v>
      </c>
      <c r="F229" s="2">
        <v>42310</v>
      </c>
      <c r="G229" s="1">
        <v>35.249000000000002</v>
      </c>
      <c r="H229" s="1">
        <v>22.111000000000001</v>
      </c>
      <c r="I229" s="15">
        <f>AVERAGE(13.92,15.06,14.32)</f>
        <v>14.433333333333332</v>
      </c>
    </row>
    <row r="230" spans="1:11" x14ac:dyDescent="0.2">
      <c r="A230" s="1" t="s">
        <v>21</v>
      </c>
      <c r="B230" s="14" t="s">
        <v>268</v>
      </c>
      <c r="C230" s="23" t="s">
        <v>284</v>
      </c>
      <c r="D230" s="23" t="s">
        <v>284</v>
      </c>
      <c r="E230" s="2">
        <v>42320</v>
      </c>
      <c r="F230" s="2">
        <v>42320</v>
      </c>
      <c r="G230" s="1">
        <v>34.826000000000001</v>
      </c>
      <c r="H230" s="1">
        <v>10.664999999999999</v>
      </c>
      <c r="I230" s="1">
        <f>AVERAGE(15.59,13.58,14)</f>
        <v>14.39</v>
      </c>
    </row>
    <row r="231" spans="1:11" x14ac:dyDescent="0.2">
      <c r="A231" s="1" t="s">
        <v>21</v>
      </c>
      <c r="B231" s="14" t="s">
        <v>268</v>
      </c>
      <c r="C231" s="23" t="s">
        <v>285</v>
      </c>
      <c r="D231" s="23" t="s">
        <v>285</v>
      </c>
      <c r="E231" s="2">
        <v>42320</v>
      </c>
      <c r="F231" s="2">
        <v>42320</v>
      </c>
      <c r="G231" s="1">
        <v>20.949000000000002</v>
      </c>
      <c r="H231" s="1">
        <v>9.1859999999999999</v>
      </c>
      <c r="I231" s="1">
        <f>AVERAGE(11.54,12.26,12)</f>
        <v>11.933333333333332</v>
      </c>
    </row>
    <row r="232" spans="1:11" x14ac:dyDescent="0.2">
      <c r="A232" s="1" t="s">
        <v>21</v>
      </c>
      <c r="B232" s="19" t="s">
        <v>277</v>
      </c>
      <c r="C232" s="19" t="s">
        <v>278</v>
      </c>
      <c r="D232" s="23" t="s">
        <v>278</v>
      </c>
      <c r="E232" s="2">
        <v>42323</v>
      </c>
      <c r="F232" s="2">
        <v>42323</v>
      </c>
      <c r="G232" s="1">
        <v>28.233000000000001</v>
      </c>
      <c r="H232" s="1">
        <v>14.007999999999999</v>
      </c>
      <c r="I232" s="1">
        <f>AVERAGE(13.3,14.25,12.57)</f>
        <v>13.373333333333335</v>
      </c>
    </row>
    <row r="233" spans="1:11" x14ac:dyDescent="0.2">
      <c r="A233" s="1" t="s">
        <v>21</v>
      </c>
      <c r="B233" s="1" t="s">
        <v>22</v>
      </c>
      <c r="C233" s="20" t="s">
        <v>279</v>
      </c>
      <c r="D233" s="20" t="s">
        <v>279</v>
      </c>
      <c r="E233" s="2">
        <v>42325</v>
      </c>
      <c r="F233" s="2">
        <v>42325</v>
      </c>
      <c r="G233" s="1">
        <v>30.509</v>
      </c>
      <c r="H233" s="1">
        <v>13.051</v>
      </c>
      <c r="I233" s="1">
        <f>AVERAGE(16.05,15.97,16.24)</f>
        <v>16.08666666666667</v>
      </c>
      <c r="J233" s="21" t="s">
        <v>280</v>
      </c>
      <c r="K233" s="21"/>
    </row>
    <row r="234" spans="1:11" x14ac:dyDescent="0.2">
      <c r="A234" s="1" t="s">
        <v>20</v>
      </c>
      <c r="B234" s="1" t="s">
        <v>22</v>
      </c>
      <c r="C234" s="22" t="s">
        <v>282</v>
      </c>
      <c r="D234" s="22" t="s">
        <v>282</v>
      </c>
      <c r="E234" s="2">
        <v>42328</v>
      </c>
      <c r="F234" s="2">
        <v>42328</v>
      </c>
      <c r="G234" s="1">
        <v>13.574</v>
      </c>
      <c r="H234" s="1">
        <v>6.7320000000000002</v>
      </c>
      <c r="I234" s="1">
        <f>AVERAGE(11,11.03,10.87)</f>
        <v>10.966666666666667</v>
      </c>
    </row>
    <row r="235" spans="1:11" x14ac:dyDescent="0.2">
      <c r="A235" s="1" t="s">
        <v>20</v>
      </c>
      <c r="B235" s="1" t="s">
        <v>22</v>
      </c>
      <c r="C235" s="22" t="s">
        <v>283</v>
      </c>
      <c r="D235" s="22" t="s">
        <v>283</v>
      </c>
      <c r="E235" s="2">
        <v>42328</v>
      </c>
      <c r="F235" s="2">
        <v>42328</v>
      </c>
      <c r="G235" s="1">
        <v>11.036</v>
      </c>
      <c r="H235" s="1">
        <v>7.3630000000000004</v>
      </c>
      <c r="I235" s="1">
        <f>AVERAGE(10.64,10.48,10.73)</f>
        <v>10.616666666666667</v>
      </c>
    </row>
    <row r="236" spans="1:11" x14ac:dyDescent="0.2">
      <c r="A236" s="1" t="s">
        <v>21</v>
      </c>
      <c r="B236" s="19" t="s">
        <v>277</v>
      </c>
      <c r="C236" s="24" t="s">
        <v>286</v>
      </c>
      <c r="D236" s="24" t="s">
        <v>286</v>
      </c>
      <c r="E236" s="2">
        <v>42331</v>
      </c>
      <c r="F236" s="2">
        <v>42331</v>
      </c>
      <c r="G236" s="1">
        <v>17.920000000000002</v>
      </c>
      <c r="H236" s="1">
        <v>4.694</v>
      </c>
      <c r="I236" s="1">
        <f>AVERAGE(10.57,11.34,10.73)</f>
        <v>10.88</v>
      </c>
    </row>
    <row r="237" spans="1:11" x14ac:dyDescent="0.2">
      <c r="A237" s="1" t="s">
        <v>20</v>
      </c>
      <c r="B237" s="19" t="s">
        <v>277</v>
      </c>
      <c r="C237" s="24" t="s">
        <v>287</v>
      </c>
      <c r="D237" s="24" t="s">
        <v>287</v>
      </c>
      <c r="E237" s="2">
        <v>42331</v>
      </c>
      <c r="F237" s="2">
        <v>42331</v>
      </c>
      <c r="G237" s="1">
        <v>25.16</v>
      </c>
      <c r="H237" s="1">
        <v>10.638999999999999</v>
      </c>
      <c r="I237" s="1">
        <f>AVERAGE(12.61,12.37,12.92)</f>
        <v>12.633333333333333</v>
      </c>
      <c r="J237" s="21" t="s">
        <v>280</v>
      </c>
      <c r="K237" s="21"/>
    </row>
    <row r="238" spans="1:11" x14ac:dyDescent="0.2">
      <c r="A238" s="1" t="s">
        <v>21</v>
      </c>
      <c r="B238" s="19" t="s">
        <v>277</v>
      </c>
      <c r="C238" s="24" t="s">
        <v>288</v>
      </c>
      <c r="D238" s="24" t="s">
        <v>289</v>
      </c>
      <c r="E238" s="2">
        <v>42331</v>
      </c>
      <c r="F238" s="2">
        <v>42331</v>
      </c>
      <c r="G238" s="1">
        <v>6.77</v>
      </c>
      <c r="H238" s="1">
        <v>2.6989999999999998</v>
      </c>
      <c r="I238" s="1">
        <f>AVERAGE(8.29,8.31,7.51)</f>
        <v>8.0366666666666671</v>
      </c>
      <c r="J238" s="24" t="s">
        <v>293</v>
      </c>
      <c r="K238" s="24"/>
    </row>
    <row r="239" spans="1:11" x14ac:dyDescent="0.2">
      <c r="A239" s="1" t="s">
        <v>20</v>
      </c>
      <c r="B239" s="19" t="s">
        <v>277</v>
      </c>
      <c r="C239" s="24" t="s">
        <v>290</v>
      </c>
      <c r="D239" s="1" t="s">
        <v>291</v>
      </c>
      <c r="E239" s="2">
        <v>42331</v>
      </c>
      <c r="F239" s="2">
        <v>42331</v>
      </c>
      <c r="G239" s="1">
        <v>18.042999999999999</v>
      </c>
      <c r="H239" s="1">
        <v>9.7710000000000008</v>
      </c>
      <c r="I239" s="1">
        <f>AVERAGE(10.44,9.94,10.12)</f>
        <v>10.166666666666666</v>
      </c>
    </row>
    <row r="240" spans="1:11" x14ac:dyDescent="0.2">
      <c r="A240" s="19" t="s">
        <v>277</v>
      </c>
      <c r="B240" s="25" t="s">
        <v>294</v>
      </c>
      <c r="C240" s="25">
        <v>23</v>
      </c>
      <c r="D240" s="25" t="s">
        <v>295</v>
      </c>
      <c r="E240" s="2">
        <v>42334</v>
      </c>
      <c r="F240" s="2">
        <v>42334</v>
      </c>
      <c r="G240" s="1">
        <v>31.478999999999999</v>
      </c>
      <c r="H240" s="1">
        <v>19.734999999999999</v>
      </c>
      <c r="I240" s="1">
        <f>AVERAGE(13.25,13.14,13)</f>
        <v>13.13</v>
      </c>
    </row>
    <row r="241" spans="1:9" x14ac:dyDescent="0.2">
      <c r="A241" s="19" t="s">
        <v>277</v>
      </c>
      <c r="B241" s="25" t="s">
        <v>294</v>
      </c>
      <c r="C241" s="25">
        <v>41</v>
      </c>
      <c r="D241" s="25" t="s">
        <v>296</v>
      </c>
      <c r="E241" s="2">
        <v>42334</v>
      </c>
      <c r="F241" s="2">
        <v>42334</v>
      </c>
      <c r="G241" s="1">
        <v>13.744</v>
      </c>
      <c r="H241" s="1">
        <v>7.335</v>
      </c>
      <c r="I241" s="1">
        <f>AVERAGE(8.44,8.29,9.53)</f>
        <v>8.7533333333333321</v>
      </c>
    </row>
    <row r="242" spans="1:9" x14ac:dyDescent="0.2">
      <c r="A242" s="1" t="s">
        <v>224</v>
      </c>
      <c r="B242" s="12" t="s">
        <v>251</v>
      </c>
      <c r="C242" s="1" t="s">
        <v>226</v>
      </c>
      <c r="D242" s="7" t="s">
        <v>24</v>
      </c>
      <c r="E242" s="2">
        <v>42304</v>
      </c>
      <c r="F242" s="2">
        <v>42304</v>
      </c>
      <c r="G242" s="1">
        <v>25.253</v>
      </c>
      <c r="H242" s="1">
        <v>11.91</v>
      </c>
      <c r="I242" s="1">
        <v>13.663333333333334</v>
      </c>
    </row>
    <row r="243" spans="1:9" x14ac:dyDescent="0.2">
      <c r="A243" s="1" t="s">
        <v>224</v>
      </c>
      <c r="B243" s="12" t="s">
        <v>251</v>
      </c>
      <c r="C243" s="1" t="s">
        <v>225</v>
      </c>
      <c r="D243" s="7" t="s">
        <v>143</v>
      </c>
      <c r="E243" s="2">
        <v>42304</v>
      </c>
      <c r="F243" s="2">
        <v>42304</v>
      </c>
      <c r="G243" s="1">
        <v>12.528</v>
      </c>
      <c r="H243" s="1">
        <v>4.5220000000000002</v>
      </c>
      <c r="I243" s="1">
        <v>10.796666666666667</v>
      </c>
    </row>
    <row r="244" spans="1:9" x14ac:dyDescent="0.2">
      <c r="A244" s="1" t="s">
        <v>224</v>
      </c>
      <c r="B244" s="12" t="s">
        <v>251</v>
      </c>
      <c r="C244" s="1" t="s">
        <v>227</v>
      </c>
      <c r="D244" s="7" t="s">
        <v>25</v>
      </c>
      <c r="E244" s="2">
        <v>42304</v>
      </c>
      <c r="F244" s="2">
        <v>42304</v>
      </c>
      <c r="G244" s="1">
        <v>27.675999999999998</v>
      </c>
      <c r="H244" s="1">
        <v>10.542</v>
      </c>
      <c r="I244" s="1">
        <v>13.673333333333332</v>
      </c>
    </row>
    <row r="245" spans="1:9" x14ac:dyDescent="0.2">
      <c r="A245" s="1" t="s">
        <v>224</v>
      </c>
      <c r="B245" s="12" t="s">
        <v>251</v>
      </c>
      <c r="C245" s="1" t="s">
        <v>228</v>
      </c>
      <c r="D245" s="7" t="s">
        <v>25</v>
      </c>
      <c r="E245" s="2">
        <v>42304</v>
      </c>
      <c r="F245" s="2">
        <v>42304</v>
      </c>
      <c r="G245" s="1">
        <v>13.717000000000001</v>
      </c>
      <c r="H245" s="1">
        <v>4.5979999999999999</v>
      </c>
      <c r="I245" s="1">
        <v>10.146666666666667</v>
      </c>
    </row>
    <row r="246" spans="1:9" x14ac:dyDescent="0.2">
      <c r="A246" s="1" t="s">
        <v>224</v>
      </c>
      <c r="B246" s="12" t="s">
        <v>251</v>
      </c>
      <c r="C246" s="1" t="s">
        <v>233</v>
      </c>
      <c r="D246" s="7" t="s">
        <v>25</v>
      </c>
      <c r="E246" s="2">
        <v>42305</v>
      </c>
      <c r="F246" s="2">
        <v>42305</v>
      </c>
      <c r="G246" s="1">
        <v>17.302</v>
      </c>
      <c r="H246" s="1">
        <v>3.3820000000000001</v>
      </c>
      <c r="I246" s="1">
        <v>10.983333333333334</v>
      </c>
    </row>
    <row r="247" spans="1:9" x14ac:dyDescent="0.2">
      <c r="A247" s="1" t="s">
        <v>224</v>
      </c>
      <c r="B247" s="12" t="s">
        <v>251</v>
      </c>
      <c r="C247" s="1" t="s">
        <v>234</v>
      </c>
      <c r="D247" s="7" t="s">
        <v>25</v>
      </c>
      <c r="E247" s="2">
        <v>42305</v>
      </c>
      <c r="F247" s="2">
        <v>42305</v>
      </c>
      <c r="G247" s="1">
        <v>16.312000000000001</v>
      </c>
      <c r="H247" s="1">
        <v>3.5169999999999999</v>
      </c>
      <c r="I247" s="1">
        <v>10.853333333333333</v>
      </c>
    </row>
    <row r="248" spans="1:9" x14ac:dyDescent="0.2">
      <c r="A248" s="1" t="s">
        <v>224</v>
      </c>
      <c r="B248" s="12" t="s">
        <v>251</v>
      </c>
      <c r="C248" s="1" t="s">
        <v>235</v>
      </c>
      <c r="D248" s="7" t="s">
        <v>25</v>
      </c>
      <c r="E248" s="2">
        <v>42305</v>
      </c>
      <c r="F248" s="2">
        <v>42305</v>
      </c>
      <c r="G248" s="1">
        <v>16.271999999999998</v>
      </c>
      <c r="H248" s="1">
        <v>5.0750000000000002</v>
      </c>
      <c r="I248" s="1">
        <v>11.43</v>
      </c>
    </row>
    <row r="249" spans="1:9" x14ac:dyDescent="0.2">
      <c r="A249" s="1" t="s">
        <v>224</v>
      </c>
      <c r="B249" s="12" t="s">
        <v>251</v>
      </c>
      <c r="C249" s="8" t="s">
        <v>236</v>
      </c>
      <c r="D249" s="7" t="s">
        <v>143</v>
      </c>
      <c r="E249" s="2">
        <v>42305</v>
      </c>
      <c r="F249" s="2">
        <v>42305</v>
      </c>
      <c r="G249" s="1">
        <v>14.262</v>
      </c>
      <c r="H249" s="1">
        <v>5.1070000000000002</v>
      </c>
      <c r="I249" s="1">
        <v>9.9866666666666664</v>
      </c>
    </row>
    <row r="250" spans="1:9" x14ac:dyDescent="0.2">
      <c r="A250" s="1" t="s">
        <v>224</v>
      </c>
      <c r="B250" s="12" t="s">
        <v>251</v>
      </c>
      <c r="C250" s="8" t="s">
        <v>237</v>
      </c>
      <c r="D250" s="7" t="s">
        <v>24</v>
      </c>
      <c r="E250" s="2">
        <v>42305</v>
      </c>
      <c r="F250" s="2">
        <v>42306</v>
      </c>
      <c r="G250" s="1">
        <v>19.006</v>
      </c>
      <c r="H250" s="1">
        <v>7.6459999999999999</v>
      </c>
      <c r="I250" s="1">
        <v>10.96</v>
      </c>
    </row>
    <row r="251" spans="1:9" x14ac:dyDescent="0.2">
      <c r="A251" s="1" t="s">
        <v>224</v>
      </c>
      <c r="B251" s="12" t="s">
        <v>252</v>
      </c>
      <c r="C251" s="9" t="s">
        <v>238</v>
      </c>
      <c r="D251" s="9" t="s">
        <v>243</v>
      </c>
      <c r="E251" s="2">
        <v>42306</v>
      </c>
      <c r="F251" s="2">
        <v>42306</v>
      </c>
      <c r="G251" s="1">
        <v>16.518999999999998</v>
      </c>
      <c r="H251" s="1">
        <v>11.196999999999999</v>
      </c>
      <c r="I251" s="1">
        <v>10.743333333333334</v>
      </c>
    </row>
    <row r="252" spans="1:9" x14ac:dyDescent="0.2">
      <c r="A252" s="1" t="s">
        <v>224</v>
      </c>
      <c r="B252" s="12" t="s">
        <v>252</v>
      </c>
      <c r="C252" s="9" t="s">
        <v>239</v>
      </c>
      <c r="D252" s="9" t="s">
        <v>243</v>
      </c>
      <c r="E252" s="2">
        <v>42306</v>
      </c>
      <c r="F252" s="2">
        <v>42306</v>
      </c>
      <c r="G252" s="1">
        <v>15.532</v>
      </c>
      <c r="H252" s="1">
        <v>10.912000000000001</v>
      </c>
      <c r="I252" s="1">
        <v>12.296666666666667</v>
      </c>
    </row>
    <row r="253" spans="1:9" x14ac:dyDescent="0.2">
      <c r="A253" s="1" t="s">
        <v>224</v>
      </c>
      <c r="B253" s="12" t="s">
        <v>252</v>
      </c>
      <c r="C253" s="9" t="s">
        <v>240</v>
      </c>
      <c r="D253" s="9" t="s">
        <v>243</v>
      </c>
      <c r="E253" s="2">
        <v>42306</v>
      </c>
      <c r="F253" s="2">
        <v>42306</v>
      </c>
      <c r="G253" s="1">
        <v>13.348000000000001</v>
      </c>
      <c r="H253" s="1">
        <v>9.0229999999999997</v>
      </c>
      <c r="I253" s="1">
        <v>11.403333333333334</v>
      </c>
    </row>
    <row r="254" spans="1:9" x14ac:dyDescent="0.2">
      <c r="A254" s="1" t="s">
        <v>224</v>
      </c>
      <c r="B254" s="12" t="s">
        <v>252</v>
      </c>
      <c r="C254" s="9" t="s">
        <v>241</v>
      </c>
      <c r="D254" s="9" t="s">
        <v>243</v>
      </c>
      <c r="E254" s="2">
        <v>42306</v>
      </c>
      <c r="F254" s="2">
        <v>42306</v>
      </c>
      <c r="G254" s="1">
        <v>15.589</v>
      </c>
      <c r="H254" s="1">
        <v>9.8239999999999998</v>
      </c>
      <c r="I254" s="1">
        <v>11.866666666666667</v>
      </c>
    </row>
    <row r="255" spans="1:9" x14ac:dyDescent="0.2">
      <c r="A255" s="1" t="s">
        <v>224</v>
      </c>
      <c r="B255" s="12" t="s">
        <v>252</v>
      </c>
      <c r="C255" s="9" t="s">
        <v>242</v>
      </c>
      <c r="D255" s="9" t="s">
        <v>243</v>
      </c>
      <c r="E255" s="2">
        <v>42306</v>
      </c>
      <c r="F255" s="2">
        <v>42306</v>
      </c>
      <c r="G255" s="1">
        <v>12.420999999999999</v>
      </c>
      <c r="H255" s="1">
        <v>8.0020000000000007</v>
      </c>
      <c r="I255" s="1">
        <v>9.4466666666666672</v>
      </c>
    </row>
    <row r="256" spans="1:9" x14ac:dyDescent="0.2">
      <c r="A256" s="1" t="s">
        <v>224</v>
      </c>
      <c r="B256" s="12" t="s">
        <v>253</v>
      </c>
      <c r="C256" s="11" t="s">
        <v>244</v>
      </c>
      <c r="D256" s="7" t="s">
        <v>143</v>
      </c>
      <c r="E256" s="2">
        <v>42306</v>
      </c>
      <c r="F256" s="2">
        <v>42306</v>
      </c>
      <c r="G256" s="1">
        <v>15.143000000000001</v>
      </c>
      <c r="H256" s="1">
        <v>6.79</v>
      </c>
      <c r="I256" s="1">
        <v>9.39</v>
      </c>
    </row>
    <row r="257" spans="1:9" x14ac:dyDescent="0.2">
      <c r="A257" s="1" t="s">
        <v>224</v>
      </c>
      <c r="B257" s="12" t="s">
        <v>254</v>
      </c>
      <c r="C257" s="11" t="s">
        <v>245</v>
      </c>
      <c r="D257" s="10" t="s">
        <v>194</v>
      </c>
      <c r="E257" s="2">
        <v>42306</v>
      </c>
      <c r="F257" s="2">
        <v>42306</v>
      </c>
      <c r="G257" s="1">
        <v>12.94</v>
      </c>
      <c r="H257" s="1">
        <v>8.0350000000000001</v>
      </c>
      <c r="I257" s="1">
        <v>8.9433333333333334</v>
      </c>
    </row>
    <row r="258" spans="1:9" x14ac:dyDescent="0.2">
      <c r="A258" s="1" t="s">
        <v>224</v>
      </c>
      <c r="B258" s="12" t="s">
        <v>254</v>
      </c>
      <c r="C258" s="11" t="s">
        <v>246</v>
      </c>
      <c r="D258" s="10" t="s">
        <v>194</v>
      </c>
      <c r="E258" s="2">
        <v>42306</v>
      </c>
      <c r="F258" s="2">
        <v>42306</v>
      </c>
      <c r="G258" s="1">
        <v>8.3379999999999992</v>
      </c>
      <c r="H258" s="1">
        <v>5.2919999999999998</v>
      </c>
      <c r="I258" s="1">
        <v>7.3433333333333337</v>
      </c>
    </row>
    <row r="259" spans="1:9" x14ac:dyDescent="0.2">
      <c r="A259" s="1" t="s">
        <v>224</v>
      </c>
      <c r="B259" s="12" t="s">
        <v>254</v>
      </c>
      <c r="C259" s="11" t="s">
        <v>247</v>
      </c>
      <c r="D259" s="10" t="s">
        <v>194</v>
      </c>
      <c r="E259" s="2">
        <v>42306</v>
      </c>
      <c r="F259" s="2">
        <v>42306</v>
      </c>
      <c r="G259" s="1">
        <v>10.167</v>
      </c>
      <c r="H259" s="1">
        <v>6.9749999999999996</v>
      </c>
      <c r="I259" s="1">
        <v>8.2566666666666677</v>
      </c>
    </row>
    <row r="260" spans="1:9" x14ac:dyDescent="0.2">
      <c r="A260" s="1" t="s">
        <v>224</v>
      </c>
      <c r="B260" s="12" t="s">
        <v>254</v>
      </c>
      <c r="C260" s="11" t="s">
        <v>248</v>
      </c>
      <c r="D260" s="10" t="s">
        <v>194</v>
      </c>
      <c r="E260" s="2">
        <v>42306</v>
      </c>
      <c r="F260" s="2">
        <v>42306</v>
      </c>
      <c r="G260" s="1">
        <v>7.7359999999999998</v>
      </c>
      <c r="H260" s="1">
        <v>5.0380000000000003</v>
      </c>
      <c r="I260" s="1">
        <v>7.25</v>
      </c>
    </row>
    <row r="261" spans="1:9" x14ac:dyDescent="0.2">
      <c r="A261" s="1" t="s">
        <v>224</v>
      </c>
      <c r="B261" s="12" t="s">
        <v>254</v>
      </c>
      <c r="C261" s="11" t="s">
        <v>249</v>
      </c>
      <c r="D261" s="10" t="s">
        <v>194</v>
      </c>
      <c r="E261" s="2">
        <v>42306</v>
      </c>
      <c r="F261" s="2">
        <v>42306</v>
      </c>
      <c r="G261" s="1">
        <v>6.3620000000000001</v>
      </c>
      <c r="H261" s="1">
        <v>4.226</v>
      </c>
      <c r="I261" s="1">
        <v>7.8400000000000007</v>
      </c>
    </row>
    <row r="262" spans="1:9" x14ac:dyDescent="0.2">
      <c r="A262" s="1" t="s">
        <v>224</v>
      </c>
      <c r="B262" s="14" t="s">
        <v>263</v>
      </c>
      <c r="C262" s="14" t="s">
        <v>264</v>
      </c>
      <c r="D262" s="13" t="s">
        <v>257</v>
      </c>
      <c r="E262" s="2">
        <v>42310</v>
      </c>
      <c r="F262" s="2">
        <v>42310</v>
      </c>
      <c r="G262" s="1">
        <v>12.779</v>
      </c>
      <c r="H262" s="1">
        <v>5.5529999999999999</v>
      </c>
      <c r="I262" s="1">
        <v>8.2266666666666666</v>
      </c>
    </row>
    <row r="263" spans="1:9" x14ac:dyDescent="0.2">
      <c r="A263" s="1" t="s">
        <v>224</v>
      </c>
      <c r="B263" s="14" t="s">
        <v>263</v>
      </c>
      <c r="C263" s="14" t="s">
        <v>265</v>
      </c>
      <c r="D263" s="13" t="s">
        <v>257</v>
      </c>
      <c r="E263" s="2">
        <v>42310</v>
      </c>
      <c r="F263" s="2">
        <v>42310</v>
      </c>
      <c r="G263" s="1">
        <v>8.6199999999999992</v>
      </c>
      <c r="H263" s="1">
        <v>4.048</v>
      </c>
      <c r="I263" s="1">
        <v>8.6866666666666674</v>
      </c>
    </row>
    <row r="264" spans="1:9" x14ac:dyDescent="0.2">
      <c r="A264" s="1" t="s">
        <v>224</v>
      </c>
      <c r="B264" s="14" t="s">
        <v>263</v>
      </c>
      <c r="C264" s="14" t="s">
        <v>266</v>
      </c>
      <c r="D264" s="13" t="s">
        <v>257</v>
      </c>
      <c r="E264" s="2">
        <v>42310</v>
      </c>
      <c r="F264" s="2">
        <v>42310</v>
      </c>
      <c r="G264" s="1">
        <v>7.3</v>
      </c>
      <c r="H264" s="1">
        <v>3.1080000000000001</v>
      </c>
      <c r="I264" s="1">
        <v>6.5533333333333337</v>
      </c>
    </row>
    <row r="265" spans="1:9" x14ac:dyDescent="0.2">
      <c r="A265" s="1" t="s">
        <v>224</v>
      </c>
      <c r="B265" s="14" t="s">
        <v>263</v>
      </c>
      <c r="C265" s="14" t="s">
        <v>267</v>
      </c>
      <c r="D265" s="13" t="s">
        <v>257</v>
      </c>
      <c r="E265" s="2">
        <v>42310</v>
      </c>
      <c r="F265" s="2">
        <v>42310</v>
      </c>
      <c r="G265" s="1">
        <v>9.49</v>
      </c>
      <c r="H265" s="1">
        <v>3.762</v>
      </c>
      <c r="I265" s="1">
        <v>7.0999999999999988</v>
      </c>
    </row>
    <row r="266" spans="1:9" x14ac:dyDescent="0.2">
      <c r="A266" s="1" t="s">
        <v>224</v>
      </c>
      <c r="B266" s="14" t="s">
        <v>263</v>
      </c>
      <c r="C266" s="14" t="s">
        <v>258</v>
      </c>
      <c r="D266" s="7" t="s">
        <v>143</v>
      </c>
      <c r="E266" s="2">
        <v>42310</v>
      </c>
      <c r="F266" s="2">
        <v>42310</v>
      </c>
      <c r="G266" s="1">
        <v>14.379</v>
      </c>
      <c r="H266" s="1">
        <v>8.1639999999999997</v>
      </c>
      <c r="I266" s="1">
        <v>11.030000000000001</v>
      </c>
    </row>
    <row r="267" spans="1:9" x14ac:dyDescent="0.2">
      <c r="A267" s="1" t="s">
        <v>224</v>
      </c>
      <c r="B267" s="14" t="s">
        <v>263</v>
      </c>
      <c r="C267" s="14" t="s">
        <v>259</v>
      </c>
      <c r="D267" s="7" t="s">
        <v>143</v>
      </c>
      <c r="E267" s="2">
        <v>42310</v>
      </c>
      <c r="F267" s="2">
        <v>42310</v>
      </c>
      <c r="G267" s="1">
        <v>7.4809999999999999</v>
      </c>
      <c r="H267" s="1">
        <v>3.4969999999999999</v>
      </c>
      <c r="I267" s="1">
        <v>6.836666666666666</v>
      </c>
    </row>
    <row r="268" spans="1:9" x14ac:dyDescent="0.2">
      <c r="A268" s="1" t="s">
        <v>224</v>
      </c>
      <c r="B268" s="14" t="s">
        <v>263</v>
      </c>
      <c r="C268" s="14" t="s">
        <v>260</v>
      </c>
      <c r="D268" s="7" t="s">
        <v>24</v>
      </c>
      <c r="E268" s="2">
        <v>42310</v>
      </c>
      <c r="F268" s="2">
        <v>42311</v>
      </c>
      <c r="G268" s="1">
        <v>13.721</v>
      </c>
      <c r="H268" s="1">
        <v>6.157</v>
      </c>
      <c r="I268" s="1">
        <v>9.4700000000000006</v>
      </c>
    </row>
    <row r="269" spans="1:9" x14ac:dyDescent="0.2">
      <c r="A269" s="1" t="s">
        <v>224</v>
      </c>
      <c r="B269" s="14" t="s">
        <v>263</v>
      </c>
      <c r="C269" s="14" t="s">
        <v>261</v>
      </c>
      <c r="D269" s="7" t="s">
        <v>24</v>
      </c>
      <c r="E269" s="2">
        <v>42310</v>
      </c>
      <c r="F269" s="2">
        <v>42311</v>
      </c>
      <c r="G269" s="1">
        <v>21.25</v>
      </c>
      <c r="H269" s="1">
        <v>8.6120000000000001</v>
      </c>
      <c r="I269" s="1">
        <v>11.14</v>
      </c>
    </row>
    <row r="270" spans="1:9" x14ac:dyDescent="0.2">
      <c r="A270" s="1" t="s">
        <v>224</v>
      </c>
      <c r="B270" s="14" t="s">
        <v>263</v>
      </c>
      <c r="C270" s="14" t="s">
        <v>262</v>
      </c>
      <c r="D270" s="7" t="s">
        <v>24</v>
      </c>
      <c r="E270" s="2">
        <v>42310</v>
      </c>
      <c r="F270" s="2">
        <v>42311</v>
      </c>
      <c r="G270" s="1">
        <v>14.516</v>
      </c>
      <c r="H270" s="1">
        <v>8.3059999999999992</v>
      </c>
      <c r="I270" s="1">
        <v>9.413333333333334</v>
      </c>
    </row>
    <row r="271" spans="1:9" x14ac:dyDescent="0.2">
      <c r="A271" s="1" t="s">
        <v>224</v>
      </c>
      <c r="B271" s="19" t="s">
        <v>277</v>
      </c>
      <c r="C271" s="18" t="s">
        <v>274</v>
      </c>
      <c r="D271" s="10" t="s">
        <v>68</v>
      </c>
      <c r="E271" s="2">
        <v>42318</v>
      </c>
      <c r="F271" s="2">
        <v>42318</v>
      </c>
      <c r="G271" s="1">
        <v>51.33</v>
      </c>
      <c r="H271" s="1">
        <v>20.228999999999999</v>
      </c>
      <c r="I271" s="1">
        <v>13.21</v>
      </c>
    </row>
    <row r="272" spans="1:9" x14ac:dyDescent="0.2">
      <c r="A272" s="1" t="s">
        <v>224</v>
      </c>
      <c r="B272" s="19" t="s">
        <v>277</v>
      </c>
      <c r="C272" s="18" t="s">
        <v>275</v>
      </c>
      <c r="D272" s="10" t="s">
        <v>68</v>
      </c>
      <c r="E272" s="2">
        <v>42318</v>
      </c>
      <c r="F272" s="2">
        <v>42318</v>
      </c>
      <c r="G272" s="1">
        <v>35.119</v>
      </c>
      <c r="H272" s="1">
        <v>17.091000000000001</v>
      </c>
      <c r="I272" s="1">
        <v>11.123333333333333</v>
      </c>
    </row>
    <row r="273" spans="1:11" x14ac:dyDescent="0.2">
      <c r="A273" s="1" t="s">
        <v>224</v>
      </c>
      <c r="B273" s="19" t="s">
        <v>277</v>
      </c>
      <c r="C273" s="18" t="s">
        <v>276</v>
      </c>
      <c r="D273" s="10" t="s">
        <v>68</v>
      </c>
      <c r="E273" s="2">
        <v>42318</v>
      </c>
      <c r="F273" s="2">
        <v>42318</v>
      </c>
      <c r="G273" s="1">
        <v>26.259</v>
      </c>
      <c r="H273" s="1">
        <v>16.495999999999999</v>
      </c>
      <c r="I273" s="1">
        <v>12.6</v>
      </c>
    </row>
    <row r="274" spans="1:11" x14ac:dyDescent="0.2">
      <c r="A274" s="19" t="s">
        <v>277</v>
      </c>
      <c r="B274" s="26" t="s">
        <v>297</v>
      </c>
      <c r="C274" s="26" t="s">
        <v>208</v>
      </c>
      <c r="D274" s="26" t="s">
        <v>209</v>
      </c>
      <c r="E274" s="2">
        <v>42337</v>
      </c>
      <c r="F274" s="2">
        <v>42337</v>
      </c>
      <c r="G274" s="1">
        <v>22.690999999999999</v>
      </c>
      <c r="H274" s="1">
        <v>6.6559999999999997</v>
      </c>
      <c r="I274" s="1">
        <f>AVERAGE(11.79,11.48,11.24)</f>
        <v>11.503333333333332</v>
      </c>
    </row>
    <row r="275" spans="1:11" x14ac:dyDescent="0.2">
      <c r="A275" s="19" t="s">
        <v>277</v>
      </c>
      <c r="B275" s="26" t="s">
        <v>297</v>
      </c>
      <c r="C275" s="1">
        <v>15</v>
      </c>
      <c r="D275" s="26" t="s">
        <v>168</v>
      </c>
      <c r="E275" s="2">
        <v>42337</v>
      </c>
      <c r="F275" s="2">
        <v>42337</v>
      </c>
      <c r="G275" s="1">
        <v>10.295</v>
      </c>
      <c r="H275" s="1">
        <v>4.8140000000000001</v>
      </c>
      <c r="I275" s="1">
        <f>AVERAGE(8.25,7.01,7.98)</f>
        <v>7.746666666666667</v>
      </c>
    </row>
    <row r="276" spans="1:11" x14ac:dyDescent="0.2">
      <c r="A276" s="19" t="s">
        <v>277</v>
      </c>
      <c r="B276" s="26" t="s">
        <v>297</v>
      </c>
      <c r="C276" s="26" t="s">
        <v>298</v>
      </c>
      <c r="D276" s="26" t="s">
        <v>302</v>
      </c>
      <c r="E276" s="2">
        <v>42337</v>
      </c>
      <c r="F276" s="2">
        <v>42337</v>
      </c>
      <c r="G276" s="1">
        <v>10.972</v>
      </c>
      <c r="H276" s="1">
        <v>6.2249999999999996</v>
      </c>
      <c r="I276" s="1">
        <f>AVERAGE(7.41,7.94,8.33)</f>
        <v>7.8933333333333335</v>
      </c>
    </row>
    <row r="277" spans="1:11" x14ac:dyDescent="0.2">
      <c r="A277" s="19" t="s">
        <v>277</v>
      </c>
      <c r="B277" s="26" t="s">
        <v>297</v>
      </c>
      <c r="C277" s="26" t="s">
        <v>299</v>
      </c>
      <c r="D277" s="26" t="s">
        <v>303</v>
      </c>
      <c r="E277" s="2">
        <v>42337</v>
      </c>
      <c r="F277" s="2">
        <v>42337</v>
      </c>
      <c r="G277" s="1">
        <v>15.21</v>
      </c>
      <c r="H277" s="1">
        <v>6.8070000000000004</v>
      </c>
      <c r="I277" s="1">
        <f>AVERAGE(10.01,9.76,9.29)</f>
        <v>9.6866666666666656</v>
      </c>
    </row>
    <row r="278" spans="1:11" x14ac:dyDescent="0.2">
      <c r="A278" s="19" t="s">
        <v>277</v>
      </c>
      <c r="B278" s="26" t="s">
        <v>297</v>
      </c>
      <c r="C278" s="1">
        <v>35</v>
      </c>
      <c r="D278" s="26" t="s">
        <v>305</v>
      </c>
      <c r="E278" s="2">
        <v>42337</v>
      </c>
      <c r="F278" s="2">
        <v>42337</v>
      </c>
      <c r="G278" s="1">
        <v>32.055</v>
      </c>
      <c r="H278" s="1">
        <v>18.411000000000001</v>
      </c>
      <c r="I278" s="1">
        <f>AVERAGE(16.53,13,15.35)</f>
        <v>14.96</v>
      </c>
    </row>
    <row r="279" spans="1:11" x14ac:dyDescent="0.2">
      <c r="A279" s="19" t="s">
        <v>277</v>
      </c>
      <c r="B279" s="19" t="s">
        <v>277</v>
      </c>
      <c r="C279" s="26" t="s">
        <v>300</v>
      </c>
      <c r="D279" s="26" t="s">
        <v>304</v>
      </c>
      <c r="E279" s="2">
        <v>42337</v>
      </c>
      <c r="F279" s="2">
        <v>42337</v>
      </c>
      <c r="G279" s="1">
        <v>30.646000000000001</v>
      </c>
      <c r="H279" s="1">
        <v>19.419</v>
      </c>
      <c r="I279" s="1">
        <f>AVERAGE(14.53,14.66,15.12)</f>
        <v>14.769999999999998</v>
      </c>
      <c r="J279" s="35" t="s">
        <v>306</v>
      </c>
      <c r="K279" s="35"/>
    </row>
    <row r="280" spans="1:11" x14ac:dyDescent="0.2">
      <c r="A280" s="19" t="s">
        <v>277</v>
      </c>
      <c r="B280" s="19" t="s">
        <v>277</v>
      </c>
      <c r="C280" s="26" t="s">
        <v>301</v>
      </c>
      <c r="D280" s="26" t="s">
        <v>140</v>
      </c>
      <c r="E280" s="2">
        <v>42337</v>
      </c>
      <c r="F280" s="2">
        <v>42337</v>
      </c>
      <c r="G280" s="1">
        <v>17.945</v>
      </c>
      <c r="H280" s="1">
        <v>6.5880000000000001</v>
      </c>
      <c r="I280" s="1">
        <f>AVERAGE(9.28,9.97,9.53)</f>
        <v>9.5933333333333337</v>
      </c>
    </row>
    <row r="281" spans="1:11" x14ac:dyDescent="0.2">
      <c r="A281" s="1" t="s">
        <v>21</v>
      </c>
      <c r="B281" s="27" t="s">
        <v>307</v>
      </c>
      <c r="C281" s="27" t="s">
        <v>308</v>
      </c>
      <c r="D281" s="27" t="s">
        <v>311</v>
      </c>
      <c r="E281" s="2">
        <v>42338</v>
      </c>
      <c r="F281" s="2">
        <v>42338</v>
      </c>
      <c r="G281" s="1">
        <v>37.055</v>
      </c>
      <c r="H281" s="1">
        <v>13.153</v>
      </c>
      <c r="I281" s="1">
        <f>AVERAGE(16.02,16.59,16.99)</f>
        <v>16.533333333333331</v>
      </c>
      <c r="J281" s="27" t="s">
        <v>312</v>
      </c>
      <c r="K281" s="27"/>
    </row>
    <row r="282" spans="1:11" x14ac:dyDescent="0.2">
      <c r="A282" s="1" t="s">
        <v>21</v>
      </c>
      <c r="B282" s="27" t="s">
        <v>307</v>
      </c>
      <c r="C282" s="27" t="s">
        <v>309</v>
      </c>
      <c r="D282" s="27" t="s">
        <v>311</v>
      </c>
      <c r="E282" s="2">
        <v>42338</v>
      </c>
      <c r="F282" s="2">
        <v>42338</v>
      </c>
      <c r="G282" s="1">
        <v>25.43</v>
      </c>
      <c r="H282" s="1">
        <v>9.7270000000000003</v>
      </c>
      <c r="I282" s="1">
        <f>AVERAGE(17.06,17.59,18.53)</f>
        <v>17.726666666666667</v>
      </c>
      <c r="J282" s="27" t="s">
        <v>312</v>
      </c>
      <c r="K282" s="27"/>
    </row>
    <row r="283" spans="1:11" x14ac:dyDescent="0.2">
      <c r="A283" s="1" t="s">
        <v>21</v>
      </c>
      <c r="B283" s="27" t="s">
        <v>307</v>
      </c>
      <c r="C283" s="27" t="s">
        <v>310</v>
      </c>
      <c r="D283" s="27" t="s">
        <v>284</v>
      </c>
      <c r="E283" s="2">
        <v>42338</v>
      </c>
      <c r="F283" s="2">
        <v>42338</v>
      </c>
      <c r="G283" s="1">
        <v>16.503</v>
      </c>
      <c r="H283" s="1">
        <v>5.6440000000000001</v>
      </c>
      <c r="I283" s="1">
        <f>AVERAGE(11.93,11.59,11.45)</f>
        <v>11.656666666666666</v>
      </c>
      <c r="J283" s="27" t="s">
        <v>312</v>
      </c>
      <c r="K283" s="27"/>
    </row>
    <row r="284" spans="1:11" x14ac:dyDescent="0.2">
      <c r="A284" s="1" t="s">
        <v>21</v>
      </c>
      <c r="B284" s="14" t="s">
        <v>263</v>
      </c>
      <c r="C284" s="28" t="s">
        <v>313</v>
      </c>
      <c r="D284" s="28" t="s">
        <v>313</v>
      </c>
      <c r="E284" s="2">
        <v>42350</v>
      </c>
      <c r="F284" s="2">
        <v>42350</v>
      </c>
      <c r="G284" s="1">
        <v>13.464</v>
      </c>
      <c r="H284" s="1">
        <v>5.742</v>
      </c>
      <c r="I284" s="1">
        <f>AVERAGE(8.95,9.63,9.52)</f>
        <v>9.3666666666666654</v>
      </c>
      <c r="J284" s="28" t="s">
        <v>316</v>
      </c>
      <c r="K284" s="28"/>
    </row>
    <row r="285" spans="1:11" x14ac:dyDescent="0.2">
      <c r="A285" s="1" t="s">
        <v>20</v>
      </c>
      <c r="B285" s="19" t="s">
        <v>277</v>
      </c>
      <c r="C285" s="28" t="s">
        <v>314</v>
      </c>
      <c r="D285" s="28" t="s">
        <v>315</v>
      </c>
      <c r="E285" s="2">
        <v>42347</v>
      </c>
      <c r="F285" s="2">
        <v>42350</v>
      </c>
      <c r="G285" s="1">
        <v>12.135</v>
      </c>
      <c r="H285" s="1">
        <v>8.9329999999999998</v>
      </c>
      <c r="I285" s="1">
        <f>AVERAGE(10.99,10.04,10.12)</f>
        <v>10.383333333333333</v>
      </c>
      <c r="J285" s="28" t="s">
        <v>316</v>
      </c>
      <c r="K285" s="28"/>
    </row>
    <row r="286" spans="1:11" x14ac:dyDescent="0.2">
      <c r="A286" s="19" t="s">
        <v>277</v>
      </c>
      <c r="B286" s="29" t="s">
        <v>317</v>
      </c>
      <c r="C286" s="1">
        <v>34</v>
      </c>
      <c r="D286" s="30" t="s">
        <v>318</v>
      </c>
      <c r="E286" s="2">
        <v>42355</v>
      </c>
      <c r="F286" s="2">
        <v>42356</v>
      </c>
      <c r="G286" s="1">
        <v>15.654999999999999</v>
      </c>
      <c r="H286" s="1">
        <v>9.5589999999999993</v>
      </c>
      <c r="I286" s="1">
        <f>AVERAGE(9.71,9.39,10.3)</f>
        <v>9.8000000000000007</v>
      </c>
      <c r="J286" s="32" t="s">
        <v>323</v>
      </c>
      <c r="K286" s="32"/>
    </row>
    <row r="287" spans="1:11" x14ac:dyDescent="0.2">
      <c r="A287" s="1" t="s">
        <v>21</v>
      </c>
      <c r="B287" s="31" t="s">
        <v>319</v>
      </c>
      <c r="C287" s="31" t="s">
        <v>320</v>
      </c>
      <c r="D287" s="31" t="s">
        <v>320</v>
      </c>
      <c r="E287" s="2">
        <v>42355</v>
      </c>
      <c r="F287" s="2">
        <v>42356</v>
      </c>
      <c r="G287" s="1">
        <f>1890.3761*200/1000</f>
        <v>378.07521999999994</v>
      </c>
      <c r="H287" s="1">
        <v>203.67</v>
      </c>
      <c r="I287" s="1">
        <f>AVERAGE(52.12,46.18)</f>
        <v>49.15</v>
      </c>
      <c r="J287" s="32" t="s">
        <v>324</v>
      </c>
      <c r="K287" s="32"/>
    </row>
    <row r="288" spans="1:11" x14ac:dyDescent="0.2">
      <c r="A288" s="1" t="s">
        <v>21</v>
      </c>
      <c r="B288" s="31" t="s">
        <v>319</v>
      </c>
      <c r="C288" s="31" t="s">
        <v>321</v>
      </c>
      <c r="D288" s="31" t="s">
        <v>321</v>
      </c>
      <c r="E288" s="2">
        <v>42355</v>
      </c>
      <c r="F288" s="2">
        <v>42356</v>
      </c>
      <c r="G288" s="31">
        <f>5925.04374*44/1000</f>
        <v>260.70192456000001</v>
      </c>
      <c r="H288" s="1">
        <v>90.600999999999999</v>
      </c>
      <c r="I288" s="1">
        <f>AVERAGE(8.2,9.2)</f>
        <v>8.6999999999999993</v>
      </c>
      <c r="J288" s="31" t="s">
        <v>322</v>
      </c>
      <c r="K288" s="31"/>
    </row>
    <row r="289" spans="1:11" x14ac:dyDescent="0.2">
      <c r="A289" s="1" t="s">
        <v>20</v>
      </c>
      <c r="B289" s="1" t="s">
        <v>20</v>
      </c>
      <c r="C289" s="33" t="s">
        <v>325</v>
      </c>
      <c r="D289" s="33" t="s">
        <v>326</v>
      </c>
      <c r="E289" s="2">
        <v>42378</v>
      </c>
      <c r="F289" s="2">
        <v>42378</v>
      </c>
      <c r="G289" s="1">
        <v>10.212</v>
      </c>
      <c r="H289" s="1">
        <v>7.4189999999999996</v>
      </c>
      <c r="I289" s="1">
        <f>AVERAGE(9.01,8.4,7.06)</f>
        <v>8.1566666666666663</v>
      </c>
      <c r="J289" s="33" t="s">
        <v>327</v>
      </c>
      <c r="K289" s="33"/>
    </row>
    <row r="290" spans="1:11" x14ac:dyDescent="0.2">
      <c r="A290" s="1" t="s">
        <v>21</v>
      </c>
      <c r="B290" s="34" t="s">
        <v>328</v>
      </c>
      <c r="C290" s="34" t="s">
        <v>329</v>
      </c>
      <c r="D290" s="34" t="s">
        <v>329</v>
      </c>
      <c r="E290" s="2">
        <v>42389</v>
      </c>
      <c r="F290" s="2">
        <v>42389</v>
      </c>
      <c r="G290" s="1">
        <v>176.16125600000001</v>
      </c>
      <c r="H290" s="1">
        <v>121.04</v>
      </c>
      <c r="I290" s="1">
        <f>AVERAGE(30.03,35.15,30.61)</f>
        <v>31.930000000000003</v>
      </c>
      <c r="J290" s="34" t="s">
        <v>330</v>
      </c>
      <c r="K290" s="34"/>
    </row>
    <row r="291" spans="1:11" x14ac:dyDescent="0.2">
      <c r="A291" s="1" t="s">
        <v>21</v>
      </c>
      <c r="B291" s="34" t="s">
        <v>333</v>
      </c>
      <c r="C291" s="34" t="s">
        <v>332</v>
      </c>
      <c r="D291" s="34" t="s">
        <v>331</v>
      </c>
      <c r="E291" s="2">
        <v>42397</v>
      </c>
      <c r="F291" s="2">
        <v>42397</v>
      </c>
      <c r="G291" s="1">
        <v>11.111000000000001</v>
      </c>
      <c r="H291" s="1">
        <v>6.6050000000000004</v>
      </c>
      <c r="I291" s="1">
        <f>AVERAGE(9.84,8.78,8.46)</f>
        <v>9.0266666666666655</v>
      </c>
    </row>
    <row r="292" spans="1:11" x14ac:dyDescent="0.2">
      <c r="A292" s="1" t="s">
        <v>21</v>
      </c>
      <c r="B292" s="31" t="s">
        <v>319</v>
      </c>
      <c r="C292" s="35" t="s">
        <v>282</v>
      </c>
      <c r="D292" s="35" t="s">
        <v>282</v>
      </c>
      <c r="E292" s="2">
        <v>42423</v>
      </c>
      <c r="F292" s="2">
        <v>42425</v>
      </c>
      <c r="G292" s="1">
        <v>127.322</v>
      </c>
      <c r="H292" s="1">
        <v>179.667</v>
      </c>
      <c r="I292" s="1">
        <f>AVERAGE(87.96,71.06)</f>
        <v>79.509999999999991</v>
      </c>
      <c r="J292" s="35" t="s">
        <v>334</v>
      </c>
      <c r="K292" s="35">
        <v>1</v>
      </c>
    </row>
    <row r="293" spans="1:11" x14ac:dyDescent="0.2">
      <c r="A293" s="1" t="s">
        <v>21</v>
      </c>
      <c r="B293" s="31" t="s">
        <v>319</v>
      </c>
      <c r="C293" s="35" t="s">
        <v>335</v>
      </c>
      <c r="D293" s="35" t="s">
        <v>335</v>
      </c>
      <c r="E293" s="2">
        <v>42423</v>
      </c>
      <c r="F293" s="2">
        <v>42425</v>
      </c>
      <c r="G293" s="1">
        <v>108.96599999999999</v>
      </c>
      <c r="H293" s="1">
        <v>137.32</v>
      </c>
      <c r="I293" s="1">
        <f>AVERAGE(81.18,73.45)</f>
        <v>77.314999999999998</v>
      </c>
      <c r="J293" s="35" t="s">
        <v>334</v>
      </c>
      <c r="K293" s="35">
        <v>1</v>
      </c>
    </row>
    <row r="294" spans="1:11" x14ac:dyDescent="0.2">
      <c r="A294" s="1" t="s">
        <v>20</v>
      </c>
      <c r="B294" s="19" t="s">
        <v>277</v>
      </c>
      <c r="C294" s="40" t="s">
        <v>338</v>
      </c>
      <c r="E294" s="2">
        <v>42475</v>
      </c>
      <c r="F294" s="2">
        <v>42475</v>
      </c>
      <c r="G294" s="1">
        <v>15.635</v>
      </c>
      <c r="H294" s="1">
        <v>10.909700000000001</v>
      </c>
      <c r="I294" s="1">
        <f>AVERAGE(10.44,10.2,10.16)</f>
        <v>10.266666666666667</v>
      </c>
      <c r="J294" s="40" t="s">
        <v>346</v>
      </c>
    </row>
    <row r="295" spans="1:11" x14ac:dyDescent="0.2">
      <c r="A295" s="1" t="s">
        <v>20</v>
      </c>
      <c r="B295" s="19" t="s">
        <v>277</v>
      </c>
      <c r="C295" s="40" t="s">
        <v>339</v>
      </c>
      <c r="E295" s="2">
        <v>42475</v>
      </c>
      <c r="F295" s="2">
        <v>42475</v>
      </c>
      <c r="G295" s="1">
        <v>42.45</v>
      </c>
      <c r="H295" s="1">
        <v>30.2745</v>
      </c>
      <c r="I295" s="1">
        <f>AVERAGE(14.75,14.52,16.45)</f>
        <v>15.24</v>
      </c>
      <c r="J295" s="40" t="s">
        <v>346</v>
      </c>
    </row>
    <row r="296" spans="1:11" x14ac:dyDescent="0.2">
      <c r="A296" s="1" t="s">
        <v>20</v>
      </c>
      <c r="B296" s="19" t="s">
        <v>277</v>
      </c>
      <c r="C296" s="40" t="s">
        <v>340</v>
      </c>
      <c r="D296" s="40" t="s">
        <v>99</v>
      </c>
      <c r="E296" s="2">
        <v>42475</v>
      </c>
      <c r="F296" s="2">
        <v>42475</v>
      </c>
      <c r="G296" s="1">
        <v>12.375</v>
      </c>
      <c r="H296" s="1">
        <v>4.6342999999999996</v>
      </c>
      <c r="I296" s="1">
        <f>AVERAGE(10.16,10.44,11.14)</f>
        <v>10.58</v>
      </c>
    </row>
    <row r="297" spans="1:11" x14ac:dyDescent="0.2">
      <c r="A297" s="40" t="s">
        <v>20</v>
      </c>
      <c r="B297" s="40" t="s">
        <v>341</v>
      </c>
      <c r="C297" s="40" t="s">
        <v>342</v>
      </c>
      <c r="D297" s="40" t="s">
        <v>342</v>
      </c>
      <c r="E297" s="2">
        <v>42626</v>
      </c>
      <c r="F297" s="2">
        <v>42626</v>
      </c>
      <c r="G297" s="1">
        <v>14.432</v>
      </c>
      <c r="H297" s="1">
        <v>8.4258000000000006</v>
      </c>
      <c r="I297" s="1">
        <f>AVERAGE(13.48,11.45,11.31)</f>
        <v>12.08</v>
      </c>
    </row>
    <row r="298" spans="1:11" x14ac:dyDescent="0.2">
      <c r="A298" s="40" t="s">
        <v>20</v>
      </c>
      <c r="B298" s="40" t="s">
        <v>343</v>
      </c>
      <c r="C298" s="40" t="s">
        <v>344</v>
      </c>
      <c r="D298" s="40" t="s">
        <v>25</v>
      </c>
      <c r="E298" s="2">
        <v>42627</v>
      </c>
      <c r="F298" s="2">
        <v>42627</v>
      </c>
      <c r="G298" s="1">
        <v>130</v>
      </c>
      <c r="H298" s="1">
        <v>48.786999999999999</v>
      </c>
      <c r="I298" s="1">
        <f>AVERAGE(28.01,29.06,27.03)</f>
        <v>28.033333333333331</v>
      </c>
      <c r="J298" s="40" t="s">
        <v>345</v>
      </c>
    </row>
    <row r="299" spans="1:11" x14ac:dyDescent="0.2">
      <c r="A299" s="1" t="s">
        <v>21</v>
      </c>
      <c r="B299" s="40" t="s">
        <v>347</v>
      </c>
      <c r="C299" s="40" t="s">
        <v>348</v>
      </c>
      <c r="D299" s="40" t="s">
        <v>348</v>
      </c>
      <c r="E299" s="2">
        <v>42676</v>
      </c>
      <c r="F299" s="2">
        <v>42684</v>
      </c>
      <c r="G299" s="1">
        <v>127</v>
      </c>
      <c r="H299" s="1">
        <v>79.926000000000002</v>
      </c>
      <c r="J299" s="40" t="s">
        <v>349</v>
      </c>
    </row>
    <row r="300" spans="1:11" x14ac:dyDescent="0.2">
      <c r="A300" s="40" t="s">
        <v>20</v>
      </c>
      <c r="B300" s="40" t="s">
        <v>20</v>
      </c>
      <c r="C300" s="40" t="s">
        <v>99</v>
      </c>
      <c r="D300" s="40" t="s">
        <v>99</v>
      </c>
      <c r="E300" s="2">
        <v>42769</v>
      </c>
      <c r="F300" s="2">
        <v>42777</v>
      </c>
      <c r="G300" s="1">
        <v>15.425800000000001</v>
      </c>
      <c r="H300" s="1">
        <v>6.2942</v>
      </c>
      <c r="I300" s="1">
        <f>AVERAGE(10.3,11.22,11.33)</f>
        <v>10.950000000000001</v>
      </c>
    </row>
  </sheetData>
  <autoFilter ref="A1:K300"/>
  <sortState ref="A2:J226">
    <sortCondition ref="B2:B226"/>
    <sortCondition ref="C2:C2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zoomScale="80" zoomScaleNormal="80" workbookViewId="0"/>
  </sheetViews>
  <sheetFormatPr defaultRowHeight="12.75" x14ac:dyDescent="0.2"/>
  <cols>
    <col min="1" max="1" width="39.140625" style="9" bestFit="1" customWidth="1"/>
    <col min="2" max="2" width="7.140625" style="9" bestFit="1" customWidth="1"/>
    <col min="3" max="16384" width="9.140625" style="9"/>
  </cols>
  <sheetData>
    <row r="1" spans="1:2" x14ac:dyDescent="0.2">
      <c r="A1" s="36" t="s">
        <v>23</v>
      </c>
      <c r="B1" s="35" t="s">
        <v>138</v>
      </c>
    </row>
    <row r="2" spans="1:2" x14ac:dyDescent="0.2">
      <c r="A2" s="37" t="s">
        <v>201</v>
      </c>
      <c r="B2" s="38">
        <v>1</v>
      </c>
    </row>
    <row r="3" spans="1:2" x14ac:dyDescent="0.2">
      <c r="A3" s="37" t="s">
        <v>295</v>
      </c>
      <c r="B3" s="38">
        <v>1</v>
      </c>
    </row>
    <row r="4" spans="1:2" x14ac:dyDescent="0.2">
      <c r="A4" s="37" t="s">
        <v>304</v>
      </c>
      <c r="B4" s="38">
        <v>1</v>
      </c>
    </row>
    <row r="5" spans="1:2" x14ac:dyDescent="0.2">
      <c r="A5" s="37" t="s">
        <v>51</v>
      </c>
      <c r="B5" s="38">
        <v>5</v>
      </c>
    </row>
    <row r="6" spans="1:2" x14ac:dyDescent="0.2">
      <c r="A6" s="37" t="s">
        <v>128</v>
      </c>
      <c r="B6" s="38">
        <v>2</v>
      </c>
    </row>
    <row r="7" spans="1:2" x14ac:dyDescent="0.2">
      <c r="A7" s="37" t="s">
        <v>81</v>
      </c>
      <c r="B7" s="38">
        <v>1</v>
      </c>
    </row>
    <row r="8" spans="1:2" x14ac:dyDescent="0.2">
      <c r="A8" s="37" t="s">
        <v>174</v>
      </c>
      <c r="B8" s="38">
        <v>1</v>
      </c>
    </row>
    <row r="9" spans="1:2" x14ac:dyDescent="0.2">
      <c r="A9" s="37" t="s">
        <v>124</v>
      </c>
      <c r="B9" s="38">
        <v>1</v>
      </c>
    </row>
    <row r="10" spans="1:2" x14ac:dyDescent="0.2">
      <c r="A10" s="37" t="s">
        <v>313</v>
      </c>
      <c r="B10" s="38">
        <v>1</v>
      </c>
    </row>
    <row r="11" spans="1:2" x14ac:dyDescent="0.2">
      <c r="A11" s="37" t="s">
        <v>177</v>
      </c>
      <c r="B11" s="38">
        <v>2</v>
      </c>
    </row>
    <row r="12" spans="1:2" x14ac:dyDescent="0.2">
      <c r="A12" s="37" t="s">
        <v>88</v>
      </c>
      <c r="B12" s="38">
        <v>6</v>
      </c>
    </row>
    <row r="13" spans="1:2" x14ac:dyDescent="0.2">
      <c r="A13" s="37" t="s">
        <v>279</v>
      </c>
      <c r="B13" s="38">
        <v>1</v>
      </c>
    </row>
    <row r="14" spans="1:2" x14ac:dyDescent="0.2">
      <c r="A14" s="37" t="s">
        <v>171</v>
      </c>
      <c r="B14" s="38">
        <v>2</v>
      </c>
    </row>
    <row r="15" spans="1:2" x14ac:dyDescent="0.2">
      <c r="A15" s="37" t="s">
        <v>66</v>
      </c>
      <c r="B15" s="38">
        <v>1</v>
      </c>
    </row>
    <row r="16" spans="1:2" x14ac:dyDescent="0.2">
      <c r="A16" s="37" t="s">
        <v>152</v>
      </c>
      <c r="B16" s="38">
        <v>2</v>
      </c>
    </row>
    <row r="17" spans="1:2" x14ac:dyDescent="0.2">
      <c r="A17" s="37" t="s">
        <v>131</v>
      </c>
      <c r="B17" s="38">
        <v>2</v>
      </c>
    </row>
    <row r="18" spans="1:2" x14ac:dyDescent="0.2">
      <c r="A18" s="37" t="s">
        <v>48</v>
      </c>
      <c r="B18" s="38">
        <v>1</v>
      </c>
    </row>
    <row r="19" spans="1:2" x14ac:dyDescent="0.2">
      <c r="A19" s="37" t="s">
        <v>123</v>
      </c>
      <c r="B19" s="38">
        <v>2</v>
      </c>
    </row>
    <row r="20" spans="1:2" x14ac:dyDescent="0.2">
      <c r="A20" s="37" t="s">
        <v>193</v>
      </c>
      <c r="B20" s="38">
        <v>1</v>
      </c>
    </row>
    <row r="21" spans="1:2" x14ac:dyDescent="0.2">
      <c r="A21" s="37" t="s">
        <v>83</v>
      </c>
      <c r="B21" s="38">
        <v>2</v>
      </c>
    </row>
    <row r="22" spans="1:2" x14ac:dyDescent="0.2">
      <c r="A22" s="37" t="s">
        <v>195</v>
      </c>
      <c r="B22" s="38">
        <v>1</v>
      </c>
    </row>
    <row r="23" spans="1:2" x14ac:dyDescent="0.2">
      <c r="A23" s="37" t="s">
        <v>329</v>
      </c>
      <c r="B23" s="38">
        <v>1</v>
      </c>
    </row>
    <row r="24" spans="1:2" x14ac:dyDescent="0.2">
      <c r="A24" s="37" t="s">
        <v>120</v>
      </c>
      <c r="B24" s="38">
        <v>1</v>
      </c>
    </row>
    <row r="25" spans="1:2" x14ac:dyDescent="0.2">
      <c r="A25" s="37" t="s">
        <v>103</v>
      </c>
      <c r="B25" s="38">
        <v>1</v>
      </c>
    </row>
    <row r="26" spans="1:2" x14ac:dyDescent="0.2">
      <c r="A26" s="37" t="s">
        <v>102</v>
      </c>
      <c r="B26" s="38">
        <v>1</v>
      </c>
    </row>
    <row r="27" spans="1:2" x14ac:dyDescent="0.2">
      <c r="A27" s="37" t="s">
        <v>321</v>
      </c>
      <c r="B27" s="38">
        <v>1</v>
      </c>
    </row>
    <row r="28" spans="1:2" x14ac:dyDescent="0.2">
      <c r="A28" s="37" t="s">
        <v>326</v>
      </c>
      <c r="B28" s="38">
        <v>1</v>
      </c>
    </row>
    <row r="29" spans="1:2" x14ac:dyDescent="0.2">
      <c r="A29" s="37" t="s">
        <v>181</v>
      </c>
      <c r="B29" s="38">
        <v>1</v>
      </c>
    </row>
    <row r="30" spans="1:2" x14ac:dyDescent="0.2">
      <c r="A30" s="37" t="s">
        <v>167</v>
      </c>
      <c r="B30" s="38">
        <v>1</v>
      </c>
    </row>
    <row r="31" spans="1:2" x14ac:dyDescent="0.2">
      <c r="A31" s="37" t="s">
        <v>291</v>
      </c>
      <c r="B31" s="38">
        <v>5</v>
      </c>
    </row>
    <row r="32" spans="1:2" x14ac:dyDescent="0.2">
      <c r="A32" s="37" t="s">
        <v>169</v>
      </c>
      <c r="B32" s="38">
        <v>1</v>
      </c>
    </row>
    <row r="33" spans="1:2" x14ac:dyDescent="0.2">
      <c r="A33" s="37" t="s">
        <v>302</v>
      </c>
      <c r="B33" s="38">
        <v>1</v>
      </c>
    </row>
    <row r="34" spans="1:2" x14ac:dyDescent="0.2">
      <c r="A34" s="37" t="s">
        <v>182</v>
      </c>
      <c r="B34" s="38">
        <v>1</v>
      </c>
    </row>
    <row r="35" spans="1:2" x14ac:dyDescent="0.2">
      <c r="A35" s="37" t="s">
        <v>282</v>
      </c>
      <c r="B35" s="38">
        <v>2</v>
      </c>
    </row>
    <row r="36" spans="1:2" x14ac:dyDescent="0.2">
      <c r="A36" s="37" t="s">
        <v>285</v>
      </c>
      <c r="B36" s="38">
        <v>1</v>
      </c>
    </row>
    <row r="37" spans="1:2" x14ac:dyDescent="0.2">
      <c r="A37" s="37" t="s">
        <v>146</v>
      </c>
      <c r="B37" s="38">
        <v>2</v>
      </c>
    </row>
    <row r="38" spans="1:2" x14ac:dyDescent="0.2">
      <c r="A38" s="37" t="s">
        <v>287</v>
      </c>
      <c r="B38" s="38">
        <v>1</v>
      </c>
    </row>
    <row r="39" spans="1:2" x14ac:dyDescent="0.2">
      <c r="A39" s="37" t="s">
        <v>104</v>
      </c>
      <c r="B39" s="38">
        <v>1</v>
      </c>
    </row>
    <row r="40" spans="1:2" x14ac:dyDescent="0.2">
      <c r="A40" s="37" t="s">
        <v>194</v>
      </c>
      <c r="B40" s="38">
        <v>6</v>
      </c>
    </row>
    <row r="41" spans="1:2" x14ac:dyDescent="0.2">
      <c r="A41" s="37" t="s">
        <v>179</v>
      </c>
      <c r="B41" s="38">
        <v>1</v>
      </c>
    </row>
    <row r="42" spans="1:2" x14ac:dyDescent="0.2">
      <c r="A42" s="37" t="s">
        <v>269</v>
      </c>
      <c r="B42" s="38">
        <v>1</v>
      </c>
    </row>
    <row r="43" spans="1:2" x14ac:dyDescent="0.2">
      <c r="A43" s="37" t="s">
        <v>96</v>
      </c>
      <c r="B43" s="38">
        <v>2</v>
      </c>
    </row>
    <row r="44" spans="1:2" x14ac:dyDescent="0.2">
      <c r="A44" s="37" t="s">
        <v>105</v>
      </c>
      <c r="B44" s="38">
        <v>1</v>
      </c>
    </row>
    <row r="45" spans="1:2" x14ac:dyDescent="0.2">
      <c r="A45" s="37" t="s">
        <v>94</v>
      </c>
      <c r="B45" s="38">
        <v>4</v>
      </c>
    </row>
    <row r="46" spans="1:2" x14ac:dyDescent="0.2">
      <c r="A46" s="37" t="s">
        <v>70</v>
      </c>
      <c r="B46" s="38">
        <v>1</v>
      </c>
    </row>
    <row r="47" spans="1:2" x14ac:dyDescent="0.2">
      <c r="A47" s="37" t="s">
        <v>65</v>
      </c>
      <c r="B47" s="38">
        <v>1</v>
      </c>
    </row>
    <row r="48" spans="1:2" x14ac:dyDescent="0.2">
      <c r="A48" s="37" t="s">
        <v>82</v>
      </c>
      <c r="B48" s="38">
        <v>2</v>
      </c>
    </row>
    <row r="49" spans="1:2" x14ac:dyDescent="0.2">
      <c r="A49" s="37" t="s">
        <v>178</v>
      </c>
      <c r="B49" s="38">
        <v>1</v>
      </c>
    </row>
    <row r="50" spans="1:2" x14ac:dyDescent="0.2">
      <c r="A50" s="37" t="s">
        <v>25</v>
      </c>
      <c r="B50" s="38">
        <v>7</v>
      </c>
    </row>
    <row r="51" spans="1:2" x14ac:dyDescent="0.2">
      <c r="A51" s="37" t="s">
        <v>331</v>
      </c>
      <c r="B51" s="38">
        <v>1</v>
      </c>
    </row>
    <row r="52" spans="1:2" x14ac:dyDescent="0.2">
      <c r="A52" s="37" t="s">
        <v>168</v>
      </c>
      <c r="B52" s="38">
        <v>2</v>
      </c>
    </row>
    <row r="53" spans="1:2" x14ac:dyDescent="0.2">
      <c r="A53" s="37" t="s">
        <v>74</v>
      </c>
      <c r="B53" s="38">
        <v>2</v>
      </c>
    </row>
    <row r="54" spans="1:2" x14ac:dyDescent="0.2">
      <c r="A54" s="37" t="s">
        <v>99</v>
      </c>
      <c r="B54" s="38">
        <v>3</v>
      </c>
    </row>
    <row r="55" spans="1:2" x14ac:dyDescent="0.2">
      <c r="A55" s="37" t="s">
        <v>166</v>
      </c>
      <c r="B55" s="38">
        <v>2</v>
      </c>
    </row>
    <row r="56" spans="1:2" x14ac:dyDescent="0.2">
      <c r="A56" s="37" t="s">
        <v>119</v>
      </c>
      <c r="B56" s="38">
        <v>2</v>
      </c>
    </row>
    <row r="57" spans="1:2" x14ac:dyDescent="0.2">
      <c r="A57" s="37" t="s">
        <v>69</v>
      </c>
      <c r="B57" s="38">
        <v>4</v>
      </c>
    </row>
    <row r="58" spans="1:2" x14ac:dyDescent="0.2">
      <c r="A58" s="37" t="s">
        <v>52</v>
      </c>
      <c r="B58" s="38">
        <v>3</v>
      </c>
    </row>
    <row r="59" spans="1:2" x14ac:dyDescent="0.2">
      <c r="A59" s="37" t="s">
        <v>50</v>
      </c>
      <c r="B59" s="38">
        <v>4</v>
      </c>
    </row>
    <row r="60" spans="1:2" x14ac:dyDescent="0.2">
      <c r="A60" s="37" t="s">
        <v>284</v>
      </c>
      <c r="B60" s="38">
        <v>2</v>
      </c>
    </row>
    <row r="61" spans="1:2" x14ac:dyDescent="0.2">
      <c r="A61" s="37" t="s">
        <v>133</v>
      </c>
      <c r="B61" s="38">
        <v>1</v>
      </c>
    </row>
    <row r="62" spans="1:2" x14ac:dyDescent="0.2">
      <c r="A62" s="37" t="s">
        <v>140</v>
      </c>
      <c r="B62" s="38">
        <v>1</v>
      </c>
    </row>
    <row r="63" spans="1:2" x14ac:dyDescent="0.2">
      <c r="A63" s="37" t="s">
        <v>24</v>
      </c>
      <c r="B63" s="38">
        <v>8</v>
      </c>
    </row>
    <row r="64" spans="1:2" x14ac:dyDescent="0.2">
      <c r="A64" s="37" t="s">
        <v>126</v>
      </c>
      <c r="B64" s="38">
        <v>1</v>
      </c>
    </row>
    <row r="65" spans="1:2" x14ac:dyDescent="0.2">
      <c r="A65" s="37" t="s">
        <v>292</v>
      </c>
      <c r="B65" s="38">
        <v>1</v>
      </c>
    </row>
    <row r="66" spans="1:2" x14ac:dyDescent="0.2">
      <c r="A66" s="37" t="s">
        <v>149</v>
      </c>
      <c r="B66" s="38">
        <v>1</v>
      </c>
    </row>
    <row r="67" spans="1:2" x14ac:dyDescent="0.2">
      <c r="A67" s="37" t="s">
        <v>44</v>
      </c>
      <c r="B67" s="38">
        <v>1</v>
      </c>
    </row>
    <row r="68" spans="1:2" x14ac:dyDescent="0.2">
      <c r="A68" s="37" t="s">
        <v>184</v>
      </c>
      <c r="B68" s="38">
        <v>1</v>
      </c>
    </row>
    <row r="69" spans="1:2" x14ac:dyDescent="0.2">
      <c r="A69" s="37" t="s">
        <v>142</v>
      </c>
      <c r="B69" s="38">
        <v>1</v>
      </c>
    </row>
    <row r="70" spans="1:2" x14ac:dyDescent="0.2">
      <c r="A70" s="37" t="s">
        <v>68</v>
      </c>
      <c r="B70" s="38">
        <v>9</v>
      </c>
    </row>
    <row r="71" spans="1:2" x14ac:dyDescent="0.2">
      <c r="A71" s="37" t="s">
        <v>130</v>
      </c>
      <c r="B71" s="38">
        <v>1</v>
      </c>
    </row>
    <row r="72" spans="1:2" x14ac:dyDescent="0.2">
      <c r="A72" s="37" t="s">
        <v>46</v>
      </c>
      <c r="B72" s="38">
        <v>5</v>
      </c>
    </row>
    <row r="73" spans="1:2" x14ac:dyDescent="0.2">
      <c r="A73" s="37" t="s">
        <v>175</v>
      </c>
      <c r="B73" s="38">
        <v>1</v>
      </c>
    </row>
    <row r="74" spans="1:2" x14ac:dyDescent="0.2">
      <c r="A74" s="37" t="s">
        <v>67</v>
      </c>
      <c r="B74" s="38">
        <v>1</v>
      </c>
    </row>
    <row r="75" spans="1:2" x14ac:dyDescent="0.2">
      <c r="A75" s="37" t="s">
        <v>165</v>
      </c>
      <c r="B75" s="38">
        <v>1</v>
      </c>
    </row>
    <row r="76" spans="1:2" x14ac:dyDescent="0.2">
      <c r="A76" s="37" t="s">
        <v>95</v>
      </c>
      <c r="B76" s="38">
        <v>1</v>
      </c>
    </row>
    <row r="77" spans="1:2" x14ac:dyDescent="0.2">
      <c r="A77" s="37" t="s">
        <v>54</v>
      </c>
      <c r="B77" s="38">
        <v>5</v>
      </c>
    </row>
    <row r="78" spans="1:2" x14ac:dyDescent="0.2">
      <c r="A78" s="37" t="s">
        <v>129</v>
      </c>
      <c r="B78" s="38">
        <v>1</v>
      </c>
    </row>
    <row r="79" spans="1:2" x14ac:dyDescent="0.2">
      <c r="A79" s="37" t="s">
        <v>91</v>
      </c>
      <c r="B79" s="38">
        <v>1</v>
      </c>
    </row>
    <row r="80" spans="1:2" x14ac:dyDescent="0.2">
      <c r="A80" s="37" t="s">
        <v>191</v>
      </c>
      <c r="B80" s="38">
        <v>1</v>
      </c>
    </row>
    <row r="81" spans="1:2" x14ac:dyDescent="0.2">
      <c r="A81" s="37" t="s">
        <v>192</v>
      </c>
      <c r="B81" s="38">
        <v>1</v>
      </c>
    </row>
    <row r="82" spans="1:2" x14ac:dyDescent="0.2">
      <c r="A82" s="37" t="s">
        <v>84</v>
      </c>
      <c r="B82" s="38">
        <v>1</v>
      </c>
    </row>
    <row r="83" spans="1:2" x14ac:dyDescent="0.2">
      <c r="A83" s="37" t="s">
        <v>57</v>
      </c>
      <c r="B83" s="38">
        <v>3</v>
      </c>
    </row>
    <row r="84" spans="1:2" x14ac:dyDescent="0.2">
      <c r="A84" s="37" t="s">
        <v>90</v>
      </c>
      <c r="B84" s="38">
        <v>2</v>
      </c>
    </row>
    <row r="85" spans="1:2" x14ac:dyDescent="0.2">
      <c r="A85" s="37" t="s">
        <v>296</v>
      </c>
      <c r="B85" s="38">
        <v>1</v>
      </c>
    </row>
    <row r="86" spans="1:2" x14ac:dyDescent="0.2">
      <c r="A86" s="37" t="s">
        <v>132</v>
      </c>
      <c r="B86" s="38">
        <v>2</v>
      </c>
    </row>
    <row r="87" spans="1:2" x14ac:dyDescent="0.2">
      <c r="A87" s="37" t="s">
        <v>127</v>
      </c>
      <c r="B87" s="38">
        <v>1</v>
      </c>
    </row>
    <row r="88" spans="1:2" x14ac:dyDescent="0.2">
      <c r="A88" s="37" t="s">
        <v>49</v>
      </c>
      <c r="B88" s="38">
        <v>2</v>
      </c>
    </row>
    <row r="89" spans="1:2" x14ac:dyDescent="0.2">
      <c r="A89" s="37" t="s">
        <v>170</v>
      </c>
      <c r="B89" s="38">
        <v>1</v>
      </c>
    </row>
    <row r="90" spans="1:2" x14ac:dyDescent="0.2">
      <c r="A90" s="37" t="s">
        <v>101</v>
      </c>
      <c r="B90" s="38">
        <v>3</v>
      </c>
    </row>
    <row r="91" spans="1:2" x14ac:dyDescent="0.2">
      <c r="A91" s="37" t="s">
        <v>173</v>
      </c>
      <c r="B91" s="38">
        <v>1</v>
      </c>
    </row>
    <row r="92" spans="1:2" x14ac:dyDescent="0.2">
      <c r="A92" s="37" t="s">
        <v>125</v>
      </c>
      <c r="B92" s="38">
        <v>1</v>
      </c>
    </row>
    <row r="93" spans="1:2" x14ac:dyDescent="0.2">
      <c r="A93" s="37" t="s">
        <v>202</v>
      </c>
      <c r="B93" s="38">
        <v>2</v>
      </c>
    </row>
    <row r="94" spans="1:2" x14ac:dyDescent="0.2">
      <c r="A94" s="37" t="s">
        <v>97</v>
      </c>
      <c r="B94" s="38">
        <v>1</v>
      </c>
    </row>
    <row r="95" spans="1:2" x14ac:dyDescent="0.2">
      <c r="A95" s="37" t="s">
        <v>87</v>
      </c>
      <c r="B95" s="38">
        <v>6</v>
      </c>
    </row>
    <row r="96" spans="1:2" x14ac:dyDescent="0.2">
      <c r="A96" s="37" t="s">
        <v>71</v>
      </c>
      <c r="B96" s="38">
        <v>2</v>
      </c>
    </row>
    <row r="97" spans="1:2" x14ac:dyDescent="0.2">
      <c r="A97" s="37" t="s">
        <v>145</v>
      </c>
      <c r="B97" s="38">
        <v>1</v>
      </c>
    </row>
    <row r="98" spans="1:2" x14ac:dyDescent="0.2">
      <c r="A98" s="37" t="s">
        <v>45</v>
      </c>
      <c r="B98" s="38">
        <v>2</v>
      </c>
    </row>
    <row r="99" spans="1:2" x14ac:dyDescent="0.2">
      <c r="A99" s="37" t="s">
        <v>59</v>
      </c>
      <c r="B99" s="38">
        <v>3</v>
      </c>
    </row>
    <row r="100" spans="1:2" x14ac:dyDescent="0.2">
      <c r="A100" s="37" t="s">
        <v>100</v>
      </c>
      <c r="B100" s="38">
        <v>2</v>
      </c>
    </row>
    <row r="101" spans="1:2" x14ac:dyDescent="0.2">
      <c r="A101" s="37" t="s">
        <v>289</v>
      </c>
      <c r="B101" s="38">
        <v>1</v>
      </c>
    </row>
    <row r="102" spans="1:2" x14ac:dyDescent="0.2">
      <c r="A102" s="37" t="s">
        <v>53</v>
      </c>
      <c r="B102" s="38">
        <v>3</v>
      </c>
    </row>
    <row r="103" spans="1:2" x14ac:dyDescent="0.2">
      <c r="A103" s="37" t="s">
        <v>197</v>
      </c>
      <c r="B103" s="38">
        <v>1</v>
      </c>
    </row>
    <row r="104" spans="1:2" x14ac:dyDescent="0.2">
      <c r="A104" s="37" t="s">
        <v>134</v>
      </c>
      <c r="B104" s="38">
        <v>1</v>
      </c>
    </row>
    <row r="105" spans="1:2" x14ac:dyDescent="0.2">
      <c r="A105" s="37" t="s">
        <v>143</v>
      </c>
      <c r="B105" s="38">
        <v>6</v>
      </c>
    </row>
    <row r="106" spans="1:2" x14ac:dyDescent="0.2">
      <c r="A106" s="37" t="s">
        <v>315</v>
      </c>
      <c r="B106" s="38">
        <v>1</v>
      </c>
    </row>
    <row r="107" spans="1:2" x14ac:dyDescent="0.2">
      <c r="A107" s="37" t="s">
        <v>257</v>
      </c>
      <c r="B107" s="38">
        <v>4</v>
      </c>
    </row>
    <row r="108" spans="1:2" x14ac:dyDescent="0.2">
      <c r="A108" s="37" t="s">
        <v>172</v>
      </c>
      <c r="B108" s="38">
        <v>1</v>
      </c>
    </row>
    <row r="109" spans="1:2" x14ac:dyDescent="0.2">
      <c r="A109" s="37" t="s">
        <v>47</v>
      </c>
      <c r="B109" s="38">
        <v>1</v>
      </c>
    </row>
    <row r="110" spans="1:2" x14ac:dyDescent="0.2">
      <c r="A110" s="37" t="s">
        <v>196</v>
      </c>
      <c r="B110" s="38">
        <v>1</v>
      </c>
    </row>
    <row r="111" spans="1:2" x14ac:dyDescent="0.2">
      <c r="A111" s="37" t="s">
        <v>121</v>
      </c>
      <c r="B111" s="38">
        <v>1</v>
      </c>
    </row>
    <row r="112" spans="1:2" x14ac:dyDescent="0.2">
      <c r="A112" s="37" t="s">
        <v>92</v>
      </c>
      <c r="B112" s="38">
        <v>3</v>
      </c>
    </row>
    <row r="113" spans="1:2" x14ac:dyDescent="0.2">
      <c r="A113" s="37" t="s">
        <v>73</v>
      </c>
      <c r="B113" s="38">
        <v>6</v>
      </c>
    </row>
    <row r="114" spans="1:2" x14ac:dyDescent="0.2">
      <c r="A114" s="37" t="s">
        <v>335</v>
      </c>
      <c r="B114" s="38">
        <v>1</v>
      </c>
    </row>
    <row r="115" spans="1:2" x14ac:dyDescent="0.2">
      <c r="A115" s="37" t="s">
        <v>122</v>
      </c>
      <c r="B115" s="38">
        <v>1</v>
      </c>
    </row>
    <row r="116" spans="1:2" x14ac:dyDescent="0.2">
      <c r="A116" s="37" t="s">
        <v>205</v>
      </c>
      <c r="B116" s="38">
        <v>1</v>
      </c>
    </row>
    <row r="117" spans="1:2" x14ac:dyDescent="0.2">
      <c r="A117" s="37" t="s">
        <v>318</v>
      </c>
      <c r="B117" s="38">
        <v>1</v>
      </c>
    </row>
    <row r="118" spans="1:2" x14ac:dyDescent="0.2">
      <c r="A118" s="37" t="s">
        <v>93</v>
      </c>
      <c r="B118" s="38">
        <v>4</v>
      </c>
    </row>
    <row r="119" spans="1:2" x14ac:dyDescent="0.2">
      <c r="A119" s="37" t="s">
        <v>85</v>
      </c>
      <c r="B119" s="38">
        <v>5</v>
      </c>
    </row>
    <row r="120" spans="1:2" x14ac:dyDescent="0.2">
      <c r="A120" s="37" t="s">
        <v>176</v>
      </c>
      <c r="B120" s="38">
        <v>2</v>
      </c>
    </row>
    <row r="121" spans="1:2" x14ac:dyDescent="0.2">
      <c r="A121" s="37" t="s">
        <v>135</v>
      </c>
      <c r="B121" s="38">
        <v>2</v>
      </c>
    </row>
    <row r="122" spans="1:2" x14ac:dyDescent="0.2">
      <c r="A122" s="37" t="s">
        <v>189</v>
      </c>
      <c r="B122" s="38">
        <v>1</v>
      </c>
    </row>
    <row r="123" spans="1:2" x14ac:dyDescent="0.2">
      <c r="A123" s="37" t="s">
        <v>76</v>
      </c>
      <c r="B123" s="38">
        <v>5</v>
      </c>
    </row>
    <row r="124" spans="1:2" x14ac:dyDescent="0.2">
      <c r="A124" s="37" t="s">
        <v>80</v>
      </c>
      <c r="B124" s="38">
        <v>1</v>
      </c>
    </row>
    <row r="125" spans="1:2" x14ac:dyDescent="0.2">
      <c r="A125" s="37" t="s">
        <v>303</v>
      </c>
      <c r="B125" s="38">
        <v>1</v>
      </c>
    </row>
    <row r="126" spans="1:2" x14ac:dyDescent="0.2">
      <c r="A126" s="37" t="s">
        <v>305</v>
      </c>
      <c r="B126" s="38">
        <v>1</v>
      </c>
    </row>
    <row r="127" spans="1:2" x14ac:dyDescent="0.2">
      <c r="A127" s="37" t="s">
        <v>89</v>
      </c>
      <c r="B127" s="38">
        <v>1</v>
      </c>
    </row>
    <row r="128" spans="1:2" x14ac:dyDescent="0.2">
      <c r="A128" s="37" t="s">
        <v>144</v>
      </c>
      <c r="B128" s="38">
        <v>2</v>
      </c>
    </row>
    <row r="129" spans="1:2" x14ac:dyDescent="0.2">
      <c r="A129" s="37" t="s">
        <v>98</v>
      </c>
      <c r="B129" s="38">
        <v>1</v>
      </c>
    </row>
    <row r="130" spans="1:2" x14ac:dyDescent="0.2">
      <c r="A130" s="37" t="s">
        <v>311</v>
      </c>
      <c r="B130" s="38">
        <v>2</v>
      </c>
    </row>
    <row r="131" spans="1:2" x14ac:dyDescent="0.2">
      <c r="A131" s="37" t="s">
        <v>77</v>
      </c>
      <c r="B131" s="38">
        <v>2</v>
      </c>
    </row>
    <row r="132" spans="1:2" x14ac:dyDescent="0.2">
      <c r="A132" s="37" t="s">
        <v>206</v>
      </c>
      <c r="B132" s="38">
        <v>1</v>
      </c>
    </row>
    <row r="133" spans="1:2" x14ac:dyDescent="0.2">
      <c r="A133" s="37" t="s">
        <v>72</v>
      </c>
      <c r="B133" s="38">
        <v>1</v>
      </c>
    </row>
    <row r="134" spans="1:2" x14ac:dyDescent="0.2">
      <c r="A134" s="37" t="s">
        <v>286</v>
      </c>
      <c r="B134" s="38">
        <v>1</v>
      </c>
    </row>
    <row r="135" spans="1:2" x14ac:dyDescent="0.2">
      <c r="A135" s="37" t="s">
        <v>117</v>
      </c>
      <c r="B135" s="38">
        <v>1</v>
      </c>
    </row>
    <row r="136" spans="1:2" x14ac:dyDescent="0.2">
      <c r="A136" s="37" t="s">
        <v>78</v>
      </c>
      <c r="B136" s="38">
        <v>8</v>
      </c>
    </row>
    <row r="137" spans="1:2" x14ac:dyDescent="0.2">
      <c r="A137" s="37" t="s">
        <v>283</v>
      </c>
      <c r="B137" s="38">
        <v>1</v>
      </c>
    </row>
    <row r="138" spans="1:2" x14ac:dyDescent="0.2">
      <c r="A138" s="37" t="s">
        <v>86</v>
      </c>
      <c r="B138" s="38">
        <v>1</v>
      </c>
    </row>
    <row r="139" spans="1:2" x14ac:dyDescent="0.2">
      <c r="A139" s="37" t="s">
        <v>243</v>
      </c>
      <c r="B139" s="38">
        <v>5</v>
      </c>
    </row>
    <row r="140" spans="1:2" x14ac:dyDescent="0.2">
      <c r="A140" s="37" t="s">
        <v>204</v>
      </c>
      <c r="B140" s="38">
        <v>1</v>
      </c>
    </row>
    <row r="141" spans="1:2" x14ac:dyDescent="0.2">
      <c r="A141" s="37" t="s">
        <v>320</v>
      </c>
      <c r="B141" s="38">
        <v>1</v>
      </c>
    </row>
    <row r="142" spans="1:2" x14ac:dyDescent="0.2">
      <c r="A142" s="37" t="s">
        <v>75</v>
      </c>
      <c r="B142" s="38">
        <v>3</v>
      </c>
    </row>
    <row r="143" spans="1:2" x14ac:dyDescent="0.2">
      <c r="A143" s="37" t="s">
        <v>203</v>
      </c>
      <c r="B143" s="38">
        <v>1</v>
      </c>
    </row>
    <row r="144" spans="1:2" x14ac:dyDescent="0.2">
      <c r="A144" s="37" t="s">
        <v>209</v>
      </c>
      <c r="B144" s="38">
        <v>2</v>
      </c>
    </row>
    <row r="145" spans="1:2" x14ac:dyDescent="0.2">
      <c r="A145" s="37" t="s">
        <v>79</v>
      </c>
      <c r="B145" s="38">
        <v>1</v>
      </c>
    </row>
    <row r="146" spans="1:2" x14ac:dyDescent="0.2">
      <c r="A146" s="37" t="s">
        <v>118</v>
      </c>
      <c r="B146" s="38">
        <v>1</v>
      </c>
    </row>
    <row r="147" spans="1:2" x14ac:dyDescent="0.2">
      <c r="A147" s="37" t="s">
        <v>43</v>
      </c>
      <c r="B147" s="38">
        <v>3</v>
      </c>
    </row>
    <row r="148" spans="1:2" x14ac:dyDescent="0.2">
      <c r="A148" s="37" t="s">
        <v>180</v>
      </c>
      <c r="B148" s="38">
        <v>2</v>
      </c>
    </row>
    <row r="149" spans="1:2" x14ac:dyDescent="0.2">
      <c r="A149" s="37" t="s">
        <v>278</v>
      </c>
      <c r="B149" s="38">
        <v>1</v>
      </c>
    </row>
    <row r="150" spans="1:2" x14ac:dyDescent="0.2">
      <c r="A150" s="37" t="s">
        <v>136</v>
      </c>
      <c r="B150" s="38"/>
    </row>
    <row r="151" spans="1:2" x14ac:dyDescent="0.2">
      <c r="A151" s="37" t="s">
        <v>137</v>
      </c>
      <c r="B151" s="38">
        <v>292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="80" zoomScaleNormal="80" workbookViewId="0">
      <pane ySplit="1" topLeftCell="A2" activePane="bottomLeft" state="frozen"/>
      <selection pane="bottomLeft" activeCell="W33" sqref="W2:W33"/>
    </sheetView>
  </sheetViews>
  <sheetFormatPr defaultRowHeight="12.75" x14ac:dyDescent="0.2"/>
  <cols>
    <col min="1" max="1" width="8.140625" style="1" bestFit="1" customWidth="1"/>
    <col min="2" max="2" width="10" style="1" bestFit="1" customWidth="1"/>
    <col min="3" max="3" width="8.85546875" style="1" bestFit="1" customWidth="1"/>
    <col min="4" max="4" width="25.5703125" style="1" bestFit="1" customWidth="1"/>
    <col min="5" max="5" width="10.85546875" style="1" bestFit="1" customWidth="1"/>
    <col min="6" max="6" width="13.7109375" style="1" bestFit="1" customWidth="1"/>
    <col min="7" max="7" width="7.7109375" style="1" bestFit="1" customWidth="1"/>
    <col min="8" max="10" width="6.5703125" style="1" bestFit="1" customWidth="1"/>
    <col min="11" max="21" width="7.7109375" style="1" bestFit="1" customWidth="1"/>
    <col min="22" max="22" width="36" style="1" bestFit="1" customWidth="1"/>
    <col min="23" max="16384" width="9.140625" style="1"/>
  </cols>
  <sheetData>
    <row r="1" spans="1:22" x14ac:dyDescent="0.2">
      <c r="A1" s="1" t="s">
        <v>19</v>
      </c>
      <c r="B1" s="1" t="s">
        <v>0</v>
      </c>
      <c r="C1" s="1" t="s">
        <v>1</v>
      </c>
      <c r="D1" s="1" t="s">
        <v>23</v>
      </c>
      <c r="E1" s="1" t="s">
        <v>36</v>
      </c>
      <c r="F1" s="8" t="s">
        <v>232</v>
      </c>
      <c r="G1" s="1" t="s">
        <v>62</v>
      </c>
      <c r="H1" s="1" t="s">
        <v>229</v>
      </c>
      <c r="I1" s="1" t="s">
        <v>230</v>
      </c>
      <c r="J1" s="1" t="s">
        <v>231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  <c r="T1" s="1" t="s">
        <v>222</v>
      </c>
      <c r="U1" s="1" t="s">
        <v>223</v>
      </c>
      <c r="V1" s="11" t="s">
        <v>250</v>
      </c>
    </row>
    <row r="2" spans="1:22" x14ac:dyDescent="0.2">
      <c r="A2" s="1" t="s">
        <v>224</v>
      </c>
      <c r="B2" s="12" t="s">
        <v>251</v>
      </c>
      <c r="C2" s="1" t="s">
        <v>226</v>
      </c>
      <c r="D2" s="7" t="s">
        <v>24</v>
      </c>
      <c r="E2" s="2">
        <v>42304</v>
      </c>
      <c r="F2" s="2">
        <v>42304</v>
      </c>
      <c r="G2" s="1">
        <v>25.253</v>
      </c>
      <c r="H2" s="1">
        <v>13.8</v>
      </c>
      <c r="I2" s="1">
        <v>14.06</v>
      </c>
      <c r="J2" s="1">
        <v>13.13</v>
      </c>
      <c r="K2" s="1">
        <v>27.783999999999999</v>
      </c>
      <c r="L2" s="1">
        <v>12.678000000000001</v>
      </c>
      <c r="M2" s="1">
        <v>12.108000000000001</v>
      </c>
      <c r="N2" s="1">
        <v>12.042999999999999</v>
      </c>
      <c r="O2" s="1">
        <v>11.965</v>
      </c>
      <c r="P2" s="13" t="s">
        <v>255</v>
      </c>
      <c r="Q2" s="1">
        <v>11.919</v>
      </c>
      <c r="R2" s="1">
        <v>11.955</v>
      </c>
      <c r="S2" s="1">
        <v>11.923</v>
      </c>
      <c r="T2" s="1">
        <v>11.91</v>
      </c>
      <c r="U2" s="1">
        <v>11.981</v>
      </c>
      <c r="V2" s="13" t="s">
        <v>256</v>
      </c>
    </row>
    <row r="3" spans="1:22" x14ac:dyDescent="0.2">
      <c r="A3" s="1" t="s">
        <v>224</v>
      </c>
      <c r="B3" s="12" t="s">
        <v>251</v>
      </c>
      <c r="C3" s="1" t="s">
        <v>225</v>
      </c>
      <c r="D3" s="7" t="s">
        <v>143</v>
      </c>
      <c r="E3" s="2">
        <v>42304</v>
      </c>
      <c r="F3" s="2">
        <v>42304</v>
      </c>
      <c r="G3" s="1">
        <v>12.528</v>
      </c>
      <c r="H3" s="1">
        <v>11.12</v>
      </c>
      <c r="I3" s="1">
        <v>10.38</v>
      </c>
      <c r="J3" s="1">
        <v>10.89</v>
      </c>
      <c r="K3" s="1">
        <v>8.7149999999999999</v>
      </c>
      <c r="L3" s="1">
        <v>4.5599999999999996</v>
      </c>
      <c r="M3" s="1">
        <v>4.5369999999999999</v>
      </c>
      <c r="N3" s="1">
        <v>4.548</v>
      </c>
      <c r="O3" s="1">
        <v>4.5229999999999997</v>
      </c>
      <c r="P3" s="13" t="s">
        <v>255</v>
      </c>
      <c r="Q3" s="1">
        <v>4.5250000000000004</v>
      </c>
      <c r="R3" s="1">
        <v>4.5460000000000003</v>
      </c>
      <c r="S3" s="1">
        <v>4.5259999999999998</v>
      </c>
      <c r="T3" s="1">
        <v>4.5220000000000002</v>
      </c>
      <c r="U3" s="1">
        <v>4.5599999999999996</v>
      </c>
      <c r="V3" s="13" t="s">
        <v>256</v>
      </c>
    </row>
    <row r="4" spans="1:22" x14ac:dyDescent="0.2">
      <c r="A4" s="1" t="s">
        <v>224</v>
      </c>
      <c r="B4" s="12" t="s">
        <v>251</v>
      </c>
      <c r="C4" s="1" t="s">
        <v>227</v>
      </c>
      <c r="D4" s="7" t="s">
        <v>25</v>
      </c>
      <c r="E4" s="2">
        <v>42304</v>
      </c>
      <c r="F4" s="2">
        <v>42304</v>
      </c>
      <c r="G4" s="1">
        <v>27.675999999999998</v>
      </c>
      <c r="H4" s="1">
        <v>13.74</v>
      </c>
      <c r="I4" s="1">
        <v>13.53</v>
      </c>
      <c r="J4" s="1">
        <v>13.75</v>
      </c>
      <c r="K4" s="1">
        <v>30.172000000000001</v>
      </c>
      <c r="L4" s="1">
        <v>10.872999999999999</v>
      </c>
      <c r="M4" s="1">
        <v>10.628</v>
      </c>
      <c r="N4" s="1">
        <v>10.619</v>
      </c>
      <c r="O4" s="1">
        <v>10.57</v>
      </c>
      <c r="P4" s="13" t="s">
        <v>255</v>
      </c>
      <c r="Q4" s="1">
        <v>10.542</v>
      </c>
      <c r="R4" s="1">
        <v>10.592000000000001</v>
      </c>
      <c r="S4" s="1">
        <v>10.552</v>
      </c>
      <c r="T4" s="1">
        <v>10.542</v>
      </c>
      <c r="U4" s="1">
        <v>10.63</v>
      </c>
      <c r="V4" s="13" t="s">
        <v>256</v>
      </c>
    </row>
    <row r="5" spans="1:22" x14ac:dyDescent="0.2">
      <c r="A5" s="1" t="s">
        <v>224</v>
      </c>
      <c r="B5" s="12" t="s">
        <v>251</v>
      </c>
      <c r="C5" s="1" t="s">
        <v>228</v>
      </c>
      <c r="D5" s="7" t="s">
        <v>25</v>
      </c>
      <c r="E5" s="2">
        <v>42304</v>
      </c>
      <c r="F5" s="2">
        <v>42304</v>
      </c>
      <c r="G5" s="1">
        <v>13.717000000000001</v>
      </c>
      <c r="H5" s="1">
        <v>10.3</v>
      </c>
      <c r="I5" s="1">
        <v>9.82</v>
      </c>
      <c r="J5" s="1">
        <v>10.32</v>
      </c>
      <c r="K5" s="1">
        <v>15.33</v>
      </c>
      <c r="L5" s="1">
        <v>4.6529999999999996</v>
      </c>
      <c r="M5" s="1">
        <v>4.6289999999999996</v>
      </c>
      <c r="N5" s="1">
        <v>4.633</v>
      </c>
      <c r="O5" s="1">
        <v>4.6100000000000003</v>
      </c>
      <c r="P5" s="13" t="s">
        <v>255</v>
      </c>
      <c r="Q5" s="13">
        <v>4.5990000000000002</v>
      </c>
      <c r="R5" s="1">
        <v>4.6219999999999999</v>
      </c>
      <c r="S5" s="1">
        <v>4.6029999999999998</v>
      </c>
      <c r="T5" s="1">
        <v>4.5979999999999999</v>
      </c>
      <c r="U5" s="1">
        <v>4.6440000000000001</v>
      </c>
      <c r="V5" s="13" t="s">
        <v>256</v>
      </c>
    </row>
    <row r="6" spans="1:22" x14ac:dyDescent="0.2">
      <c r="A6" s="1" t="s">
        <v>224</v>
      </c>
      <c r="B6" s="12" t="s">
        <v>251</v>
      </c>
      <c r="C6" s="1" t="s">
        <v>233</v>
      </c>
      <c r="D6" s="7" t="s">
        <v>25</v>
      </c>
      <c r="E6" s="2">
        <v>42305</v>
      </c>
      <c r="F6" s="2">
        <v>42305</v>
      </c>
      <c r="G6" s="1">
        <v>17.302</v>
      </c>
      <c r="H6" s="1">
        <v>11.81</v>
      </c>
      <c r="I6" s="1">
        <v>11.65</v>
      </c>
      <c r="J6" s="1">
        <v>9.49</v>
      </c>
      <c r="K6" s="1">
        <v>18.306999999999999</v>
      </c>
      <c r="L6" s="1">
        <v>3.476</v>
      </c>
      <c r="M6" s="1">
        <v>3.4119999999999999</v>
      </c>
      <c r="N6" s="1">
        <v>3.387</v>
      </c>
      <c r="O6" s="13" t="s">
        <v>255</v>
      </c>
      <c r="P6" s="1">
        <v>3.3820000000000001</v>
      </c>
      <c r="Q6" s="1">
        <v>3.3959999999999999</v>
      </c>
      <c r="R6" s="1">
        <v>3.3820000000000001</v>
      </c>
      <c r="S6" s="1">
        <v>3.383</v>
      </c>
      <c r="T6" s="1">
        <v>3.4079999999999999</v>
      </c>
      <c r="U6" s="1">
        <v>3.4060000000000001</v>
      </c>
      <c r="V6" s="13" t="s">
        <v>256</v>
      </c>
    </row>
    <row r="7" spans="1:22" x14ac:dyDescent="0.2">
      <c r="A7" s="1" t="s">
        <v>224</v>
      </c>
      <c r="B7" s="12" t="s">
        <v>251</v>
      </c>
      <c r="C7" s="1" t="s">
        <v>234</v>
      </c>
      <c r="D7" s="7" t="s">
        <v>25</v>
      </c>
      <c r="E7" s="2">
        <v>42305</v>
      </c>
      <c r="F7" s="2">
        <v>42305</v>
      </c>
      <c r="G7" s="1">
        <v>16.312000000000001</v>
      </c>
      <c r="H7" s="1">
        <v>10.37</v>
      </c>
      <c r="I7" s="1">
        <v>10.8</v>
      </c>
      <c r="J7" s="1">
        <v>11.39</v>
      </c>
      <c r="K7" s="1">
        <v>17.399000000000001</v>
      </c>
      <c r="L7" s="1">
        <v>3.6440000000000001</v>
      </c>
      <c r="M7" s="1">
        <v>3.5640000000000001</v>
      </c>
      <c r="N7" s="1">
        <v>3.532</v>
      </c>
      <c r="O7" s="13" t="s">
        <v>255</v>
      </c>
      <c r="P7" s="1">
        <v>3.528</v>
      </c>
      <c r="Q7" s="1">
        <v>3.5419999999999998</v>
      </c>
      <c r="R7" s="1">
        <v>3.5259999999999998</v>
      </c>
      <c r="S7" s="1">
        <v>3.5169999999999999</v>
      </c>
      <c r="T7" s="1">
        <v>3.5529999999999999</v>
      </c>
      <c r="U7" s="1">
        <v>3.548</v>
      </c>
      <c r="V7" s="13" t="s">
        <v>256</v>
      </c>
    </row>
    <row r="8" spans="1:22" x14ac:dyDescent="0.2">
      <c r="A8" s="1" t="s">
        <v>224</v>
      </c>
      <c r="B8" s="12" t="s">
        <v>251</v>
      </c>
      <c r="C8" s="1" t="s">
        <v>235</v>
      </c>
      <c r="D8" s="7" t="s">
        <v>25</v>
      </c>
      <c r="E8" s="2">
        <v>42305</v>
      </c>
      <c r="F8" s="2">
        <v>42305</v>
      </c>
      <c r="G8" s="1">
        <v>16.271999999999998</v>
      </c>
      <c r="H8" s="1">
        <v>10.199999999999999</v>
      </c>
      <c r="I8" s="1">
        <v>10.95</v>
      </c>
      <c r="J8" s="1">
        <v>13.14</v>
      </c>
      <c r="K8" s="1">
        <v>17.503</v>
      </c>
      <c r="L8" s="1">
        <v>5.5049999999999999</v>
      </c>
      <c r="M8" s="1">
        <v>5.1580000000000004</v>
      </c>
      <c r="N8" s="1">
        <v>5.0979999999999999</v>
      </c>
      <c r="O8" s="13" t="s">
        <v>255</v>
      </c>
      <c r="P8" s="1">
        <v>5.0759999999999996</v>
      </c>
      <c r="Q8" s="1">
        <v>5.093</v>
      </c>
      <c r="R8" s="1">
        <v>5.0750000000000002</v>
      </c>
      <c r="S8" s="1">
        <v>5.0750000000000002</v>
      </c>
      <c r="T8" s="1">
        <v>5.1070000000000002</v>
      </c>
      <c r="U8" s="1">
        <v>5.101</v>
      </c>
      <c r="V8" s="13" t="s">
        <v>256</v>
      </c>
    </row>
    <row r="9" spans="1:22" x14ac:dyDescent="0.2">
      <c r="A9" s="1" t="s">
        <v>224</v>
      </c>
      <c r="B9" s="12" t="s">
        <v>251</v>
      </c>
      <c r="C9" s="8" t="s">
        <v>236</v>
      </c>
      <c r="D9" s="7" t="s">
        <v>143</v>
      </c>
      <c r="E9" s="2">
        <v>42305</v>
      </c>
      <c r="F9" s="2">
        <v>42305</v>
      </c>
      <c r="G9" s="1">
        <v>14.262</v>
      </c>
      <c r="H9" s="1">
        <v>10.54</v>
      </c>
      <c r="I9" s="1">
        <v>9.86</v>
      </c>
      <c r="J9" s="1">
        <v>9.56</v>
      </c>
      <c r="K9" s="1">
        <v>10.125999999999999</v>
      </c>
      <c r="L9" s="1">
        <v>5.1749999999999998</v>
      </c>
      <c r="M9" s="1">
        <v>5.1390000000000002</v>
      </c>
      <c r="N9" s="1">
        <v>5.1079999999999997</v>
      </c>
      <c r="O9" s="13" t="s">
        <v>255</v>
      </c>
      <c r="P9" s="1">
        <v>5.1070000000000002</v>
      </c>
      <c r="Q9" s="1">
        <v>5.1349999999999998</v>
      </c>
      <c r="R9" s="1">
        <v>5.1109999999999998</v>
      </c>
      <c r="S9" s="1">
        <v>5.1079999999999997</v>
      </c>
      <c r="T9" s="1">
        <v>5.149</v>
      </c>
      <c r="U9" s="1">
        <v>5.1369999999999996</v>
      </c>
      <c r="V9" s="13" t="s">
        <v>256</v>
      </c>
    </row>
    <row r="10" spans="1:22" x14ac:dyDescent="0.2">
      <c r="A10" s="1" t="s">
        <v>224</v>
      </c>
      <c r="B10" s="12" t="s">
        <v>251</v>
      </c>
      <c r="C10" s="8" t="s">
        <v>237</v>
      </c>
      <c r="D10" s="7" t="s">
        <v>24</v>
      </c>
      <c r="E10" s="2">
        <v>42305</v>
      </c>
      <c r="F10" s="2">
        <v>42306</v>
      </c>
      <c r="G10" s="1">
        <v>19.006</v>
      </c>
      <c r="H10" s="1">
        <v>11.43</v>
      </c>
      <c r="I10" s="1">
        <v>10.31</v>
      </c>
      <c r="J10" s="1">
        <v>11.14</v>
      </c>
      <c r="K10" s="1">
        <v>20.256</v>
      </c>
      <c r="L10" s="1">
        <v>7.8490000000000002</v>
      </c>
      <c r="M10" s="1">
        <v>7.68</v>
      </c>
      <c r="N10" s="13" t="s">
        <v>255</v>
      </c>
      <c r="O10" s="1">
        <v>7.6509999999999998</v>
      </c>
      <c r="P10" s="1">
        <v>7.6890000000000001</v>
      </c>
      <c r="Q10" s="1">
        <v>7.6539999999999999</v>
      </c>
      <c r="R10" s="1">
        <v>7.6459999999999999</v>
      </c>
      <c r="S10" s="1">
        <v>7.6989999999999998</v>
      </c>
      <c r="T10" s="1">
        <v>7.6840000000000002</v>
      </c>
      <c r="U10" s="13" t="s">
        <v>255</v>
      </c>
      <c r="V10" s="16" t="s">
        <v>270</v>
      </c>
    </row>
    <row r="11" spans="1:22" x14ac:dyDescent="0.2">
      <c r="A11" s="1" t="s">
        <v>224</v>
      </c>
      <c r="B11" s="12" t="s">
        <v>252</v>
      </c>
      <c r="C11" s="9" t="s">
        <v>238</v>
      </c>
      <c r="D11" s="9" t="s">
        <v>243</v>
      </c>
      <c r="E11" s="2">
        <v>42306</v>
      </c>
      <c r="F11" s="2">
        <v>42306</v>
      </c>
      <c r="G11" s="1">
        <v>16.518999999999998</v>
      </c>
      <c r="H11" s="1">
        <v>10.36</v>
      </c>
      <c r="I11" s="1">
        <v>11.32</v>
      </c>
      <c r="J11" s="1">
        <v>10.55</v>
      </c>
      <c r="K11" s="1">
        <v>18.902999999999999</v>
      </c>
      <c r="L11" s="1">
        <v>11.605</v>
      </c>
      <c r="M11" s="1">
        <v>11.319000000000001</v>
      </c>
      <c r="N11" s="13" t="s">
        <v>255</v>
      </c>
      <c r="O11" s="1">
        <v>11.212999999999999</v>
      </c>
      <c r="P11" s="1">
        <v>11.249000000000001</v>
      </c>
      <c r="Q11" s="1">
        <v>11.206</v>
      </c>
      <c r="R11" s="1">
        <v>11.196999999999999</v>
      </c>
      <c r="S11" s="1">
        <v>11.27</v>
      </c>
      <c r="T11" s="1">
        <v>11.273</v>
      </c>
      <c r="U11" s="13" t="s">
        <v>255</v>
      </c>
      <c r="V11" s="16" t="s">
        <v>270</v>
      </c>
    </row>
    <row r="12" spans="1:22" x14ac:dyDescent="0.2">
      <c r="A12" s="1" t="s">
        <v>224</v>
      </c>
      <c r="B12" s="12" t="s">
        <v>252</v>
      </c>
      <c r="C12" s="9" t="s">
        <v>239</v>
      </c>
      <c r="D12" s="9" t="s">
        <v>243</v>
      </c>
      <c r="E12" s="2">
        <v>42306</v>
      </c>
      <c r="F12" s="2">
        <v>42306</v>
      </c>
      <c r="G12" s="1">
        <v>15.532</v>
      </c>
      <c r="H12" s="1">
        <v>11.61</v>
      </c>
      <c r="I12" s="1">
        <v>12.09</v>
      </c>
      <c r="J12" s="1">
        <v>13.19</v>
      </c>
      <c r="K12" s="1">
        <v>18.724</v>
      </c>
      <c r="L12" s="1">
        <v>11.48</v>
      </c>
      <c r="M12" s="1">
        <v>11.103</v>
      </c>
      <c r="N12" s="13" t="s">
        <v>255</v>
      </c>
      <c r="O12" s="1">
        <v>10.94</v>
      </c>
      <c r="P12" s="1">
        <v>10.948</v>
      </c>
      <c r="Q12" s="1">
        <v>10.919</v>
      </c>
      <c r="R12" s="1">
        <v>10.912000000000001</v>
      </c>
      <c r="S12" s="1">
        <v>10.978999999999999</v>
      </c>
      <c r="T12" s="1">
        <v>10.965999999999999</v>
      </c>
      <c r="U12" s="13" t="s">
        <v>255</v>
      </c>
      <c r="V12" s="16" t="s">
        <v>270</v>
      </c>
    </row>
    <row r="13" spans="1:22" x14ac:dyDescent="0.2">
      <c r="A13" s="1" t="s">
        <v>224</v>
      </c>
      <c r="B13" s="12" t="s">
        <v>252</v>
      </c>
      <c r="C13" s="9" t="s">
        <v>240</v>
      </c>
      <c r="D13" s="9" t="s">
        <v>243</v>
      </c>
      <c r="E13" s="2">
        <v>42306</v>
      </c>
      <c r="F13" s="2">
        <v>42306</v>
      </c>
      <c r="G13" s="1">
        <v>13.348000000000001</v>
      </c>
      <c r="H13" s="1">
        <v>10.89</v>
      </c>
      <c r="I13" s="1">
        <v>10.99</v>
      </c>
      <c r="J13" s="1">
        <v>12.33</v>
      </c>
      <c r="K13" s="1">
        <v>16.117999999999999</v>
      </c>
      <c r="L13" s="1">
        <v>9.468</v>
      </c>
      <c r="M13" s="1">
        <v>9.157</v>
      </c>
      <c r="N13" s="13" t="s">
        <v>255</v>
      </c>
      <c r="O13" s="1">
        <v>9.0510000000000002</v>
      </c>
      <c r="P13" s="1">
        <v>9.0709999999999997</v>
      </c>
      <c r="Q13" s="1">
        <v>9.0399999999999991</v>
      </c>
      <c r="R13" s="1">
        <v>9.0229999999999997</v>
      </c>
      <c r="S13" s="1">
        <v>9.0939999999999994</v>
      </c>
      <c r="T13" s="1">
        <v>9.0890000000000004</v>
      </c>
      <c r="U13" s="13" t="s">
        <v>255</v>
      </c>
      <c r="V13" s="16" t="s">
        <v>270</v>
      </c>
    </row>
    <row r="14" spans="1:22" x14ac:dyDescent="0.2">
      <c r="A14" s="1" t="s">
        <v>224</v>
      </c>
      <c r="B14" s="12" t="s">
        <v>252</v>
      </c>
      <c r="C14" s="9" t="s">
        <v>241</v>
      </c>
      <c r="D14" s="9" t="s">
        <v>243</v>
      </c>
      <c r="E14" s="2">
        <v>42306</v>
      </c>
      <c r="F14" s="2">
        <v>42306</v>
      </c>
      <c r="G14" s="1">
        <v>15.589</v>
      </c>
      <c r="H14" s="1">
        <v>11.67</v>
      </c>
      <c r="I14" s="1">
        <v>12</v>
      </c>
      <c r="J14" s="1">
        <v>11.93</v>
      </c>
      <c r="K14" s="1">
        <v>17.597999999999999</v>
      </c>
      <c r="L14" s="1">
        <v>10.254</v>
      </c>
      <c r="M14" s="1">
        <v>9.9440000000000008</v>
      </c>
      <c r="N14" s="13" t="s">
        <v>255</v>
      </c>
      <c r="O14" s="1">
        <v>9.8339999999999996</v>
      </c>
      <c r="P14" s="1">
        <v>9.8620000000000001</v>
      </c>
      <c r="Q14" s="1">
        <v>9.827</v>
      </c>
      <c r="R14" s="1">
        <v>9.8239999999999998</v>
      </c>
      <c r="S14" s="1">
        <v>9.8859999999999992</v>
      </c>
      <c r="T14" s="1">
        <v>9.8740000000000006</v>
      </c>
      <c r="U14" s="13" t="s">
        <v>255</v>
      </c>
      <c r="V14" s="16" t="s">
        <v>270</v>
      </c>
    </row>
    <row r="15" spans="1:22" x14ac:dyDescent="0.2">
      <c r="A15" s="1" t="s">
        <v>224</v>
      </c>
      <c r="B15" s="12" t="s">
        <v>252</v>
      </c>
      <c r="C15" s="9" t="s">
        <v>242</v>
      </c>
      <c r="D15" s="9" t="s">
        <v>243</v>
      </c>
      <c r="E15" s="2">
        <v>42306</v>
      </c>
      <c r="F15" s="2">
        <v>42306</v>
      </c>
      <c r="G15" s="1">
        <v>12.420999999999999</v>
      </c>
      <c r="H15" s="1">
        <v>9.3699999999999992</v>
      </c>
      <c r="I15" s="1">
        <v>9.65</v>
      </c>
      <c r="J15" s="1">
        <v>9.32</v>
      </c>
      <c r="K15" s="1">
        <v>13.706</v>
      </c>
      <c r="L15" s="1">
        <v>8.2460000000000004</v>
      </c>
      <c r="M15" s="1">
        <v>8.0790000000000006</v>
      </c>
      <c r="N15" s="13" t="s">
        <v>255</v>
      </c>
      <c r="O15" s="1">
        <v>8.0039999999999996</v>
      </c>
      <c r="P15" s="1">
        <v>8.0269999999999992</v>
      </c>
      <c r="Q15" s="1">
        <v>8.0030000000000001</v>
      </c>
      <c r="R15" s="1">
        <v>8.0020000000000007</v>
      </c>
      <c r="S15" s="1">
        <v>8.0510000000000002</v>
      </c>
      <c r="T15" s="1">
        <v>8.048</v>
      </c>
      <c r="U15" s="13" t="s">
        <v>255</v>
      </c>
      <c r="V15" s="16" t="s">
        <v>270</v>
      </c>
    </row>
    <row r="16" spans="1:22" x14ac:dyDescent="0.2">
      <c r="A16" s="1" t="s">
        <v>224</v>
      </c>
      <c r="B16" s="12" t="s">
        <v>253</v>
      </c>
      <c r="C16" s="11" t="s">
        <v>244</v>
      </c>
      <c r="D16" s="7" t="s">
        <v>143</v>
      </c>
      <c r="E16" s="2">
        <v>42306</v>
      </c>
      <c r="F16" s="2">
        <v>42306</v>
      </c>
      <c r="G16" s="1">
        <v>15.143000000000001</v>
      </c>
      <c r="H16" s="1">
        <v>9.01</v>
      </c>
      <c r="I16" s="1">
        <v>8.9</v>
      </c>
      <c r="J16" s="1">
        <v>10.26</v>
      </c>
      <c r="K16" s="1">
        <v>11.103</v>
      </c>
      <c r="L16" s="1">
        <v>6.9189999999999996</v>
      </c>
      <c r="M16" s="1">
        <v>6.819</v>
      </c>
      <c r="N16" s="13" t="s">
        <v>255</v>
      </c>
      <c r="O16" s="1">
        <v>6.7960000000000003</v>
      </c>
      <c r="P16" s="1">
        <v>6.827</v>
      </c>
      <c r="Q16" s="1">
        <v>6.7990000000000004</v>
      </c>
      <c r="R16" s="1">
        <v>6.79</v>
      </c>
      <c r="S16" s="1">
        <v>6.8449999999999998</v>
      </c>
      <c r="T16" s="1">
        <v>6.8380000000000001</v>
      </c>
      <c r="U16" s="13" t="s">
        <v>255</v>
      </c>
      <c r="V16" s="16" t="s">
        <v>270</v>
      </c>
    </row>
    <row r="17" spans="1:22" x14ac:dyDescent="0.2">
      <c r="A17" s="1" t="s">
        <v>224</v>
      </c>
      <c r="B17" s="12" t="s">
        <v>254</v>
      </c>
      <c r="C17" s="11" t="s">
        <v>245</v>
      </c>
      <c r="D17" s="10" t="s">
        <v>194</v>
      </c>
      <c r="E17" s="2">
        <v>42306</v>
      </c>
      <c r="F17" s="2">
        <v>42306</v>
      </c>
      <c r="G17" s="1">
        <v>12.94</v>
      </c>
      <c r="H17" s="1">
        <v>8.15</v>
      </c>
      <c r="I17" s="1">
        <v>8.9499999999999993</v>
      </c>
      <c r="J17" s="1">
        <v>9.73</v>
      </c>
      <c r="K17" s="1">
        <v>14.077999999999999</v>
      </c>
      <c r="L17" s="1">
        <v>8.2309999999999999</v>
      </c>
      <c r="M17" s="1">
        <v>8.1029999999999998</v>
      </c>
      <c r="N17" s="13" t="s">
        <v>255</v>
      </c>
      <c r="O17" s="1">
        <v>8.0429999999999993</v>
      </c>
      <c r="P17" s="1">
        <v>8.0739999999999998</v>
      </c>
      <c r="Q17" s="1">
        <v>8.0419999999999998</v>
      </c>
      <c r="R17" s="1">
        <v>8.0350000000000001</v>
      </c>
      <c r="S17" s="1">
        <v>8.109</v>
      </c>
      <c r="T17" s="1">
        <v>8.1020000000000003</v>
      </c>
      <c r="U17" s="13" t="s">
        <v>255</v>
      </c>
      <c r="V17" s="16" t="s">
        <v>270</v>
      </c>
    </row>
    <row r="18" spans="1:22" x14ac:dyDescent="0.2">
      <c r="A18" s="1" t="s">
        <v>224</v>
      </c>
      <c r="B18" s="12" t="s">
        <v>254</v>
      </c>
      <c r="C18" s="11" t="s">
        <v>246</v>
      </c>
      <c r="D18" s="10" t="s">
        <v>194</v>
      </c>
      <c r="E18" s="2">
        <v>42306</v>
      </c>
      <c r="F18" s="2">
        <v>42306</v>
      </c>
      <c r="G18" s="1">
        <v>8.3379999999999992</v>
      </c>
      <c r="H18" s="1">
        <v>6.98</v>
      </c>
      <c r="I18" s="1">
        <v>7.65</v>
      </c>
      <c r="J18" s="1">
        <v>7.4</v>
      </c>
      <c r="K18" s="1">
        <v>9.157</v>
      </c>
      <c r="L18" s="1">
        <v>5.3769999999999998</v>
      </c>
      <c r="M18" s="1">
        <v>5.3220000000000001</v>
      </c>
      <c r="N18" s="13" t="s">
        <v>255</v>
      </c>
      <c r="O18" s="1">
        <v>5.2919999999999998</v>
      </c>
      <c r="P18" s="1">
        <v>5.3120000000000003</v>
      </c>
      <c r="Q18" s="1">
        <v>5.2939999999999996</v>
      </c>
      <c r="R18" s="1">
        <v>5.2930000000000001</v>
      </c>
      <c r="S18" s="1">
        <v>5.3369999999999997</v>
      </c>
      <c r="T18" s="1">
        <v>5.3259999999999996</v>
      </c>
      <c r="U18" s="13" t="s">
        <v>255</v>
      </c>
      <c r="V18" s="16" t="s">
        <v>270</v>
      </c>
    </row>
    <row r="19" spans="1:22" x14ac:dyDescent="0.2">
      <c r="A19" s="1" t="s">
        <v>224</v>
      </c>
      <c r="B19" s="12" t="s">
        <v>254</v>
      </c>
      <c r="C19" s="11" t="s">
        <v>247</v>
      </c>
      <c r="D19" s="10" t="s">
        <v>194</v>
      </c>
      <c r="E19" s="2">
        <v>42306</v>
      </c>
      <c r="F19" s="2">
        <v>42306</v>
      </c>
      <c r="G19" s="1">
        <v>10.167</v>
      </c>
      <c r="H19" s="1">
        <v>7.8</v>
      </c>
      <c r="I19" s="1">
        <v>8.7100000000000009</v>
      </c>
      <c r="J19" s="1">
        <v>8.26</v>
      </c>
      <c r="K19" s="1">
        <v>11.016</v>
      </c>
      <c r="L19" s="1">
        <v>7.0979999999999999</v>
      </c>
      <c r="M19" s="1">
        <v>7.0179999999999998</v>
      </c>
      <c r="N19" s="13" t="s">
        <v>255</v>
      </c>
      <c r="O19" s="1">
        <v>6.9779999999999998</v>
      </c>
      <c r="P19" s="1">
        <v>7.0030000000000001</v>
      </c>
      <c r="Q19" s="1">
        <v>6.984</v>
      </c>
      <c r="R19" s="1">
        <v>6.9749999999999996</v>
      </c>
      <c r="S19" s="1">
        <v>7.05</v>
      </c>
      <c r="T19" s="1">
        <v>7.0410000000000004</v>
      </c>
      <c r="U19" s="13" t="s">
        <v>255</v>
      </c>
      <c r="V19" s="16" t="s">
        <v>270</v>
      </c>
    </row>
    <row r="20" spans="1:22" x14ac:dyDescent="0.2">
      <c r="A20" s="1" t="s">
        <v>224</v>
      </c>
      <c r="B20" s="12" t="s">
        <v>254</v>
      </c>
      <c r="C20" s="11" t="s">
        <v>248</v>
      </c>
      <c r="D20" s="10" t="s">
        <v>194</v>
      </c>
      <c r="E20" s="2">
        <v>42306</v>
      </c>
      <c r="F20" s="2">
        <v>42306</v>
      </c>
      <c r="G20" s="1">
        <v>7.7359999999999998</v>
      </c>
      <c r="H20" s="1">
        <v>7.41</v>
      </c>
      <c r="I20" s="1">
        <v>7.16</v>
      </c>
      <c r="J20" s="1">
        <v>7.18</v>
      </c>
      <c r="K20" s="1">
        <v>8.7100000000000009</v>
      </c>
      <c r="L20" s="1">
        <v>5.1310000000000002</v>
      </c>
      <c r="M20" s="1">
        <v>5.0709999999999997</v>
      </c>
      <c r="N20" s="13" t="s">
        <v>255</v>
      </c>
      <c r="O20" s="1">
        <v>5.0380000000000003</v>
      </c>
      <c r="P20" s="1">
        <v>5.056</v>
      </c>
      <c r="Q20" s="1">
        <v>5.0380000000000003</v>
      </c>
      <c r="R20" s="1">
        <v>5.04</v>
      </c>
      <c r="S20" s="1">
        <v>5.0860000000000003</v>
      </c>
      <c r="T20" s="1">
        <v>5.0830000000000002</v>
      </c>
      <c r="U20" s="13" t="s">
        <v>255</v>
      </c>
      <c r="V20" s="16" t="s">
        <v>270</v>
      </c>
    </row>
    <row r="21" spans="1:22" x14ac:dyDescent="0.2">
      <c r="A21" s="1" t="s">
        <v>224</v>
      </c>
      <c r="B21" s="12" t="s">
        <v>254</v>
      </c>
      <c r="C21" s="11" t="s">
        <v>249</v>
      </c>
      <c r="D21" s="10" t="s">
        <v>194</v>
      </c>
      <c r="E21" s="2">
        <v>42306</v>
      </c>
      <c r="F21" s="2">
        <v>42306</v>
      </c>
      <c r="G21" s="1">
        <v>6.3620000000000001</v>
      </c>
      <c r="H21" s="1">
        <v>7.6</v>
      </c>
      <c r="I21" s="1">
        <v>7.45</v>
      </c>
      <c r="J21" s="1">
        <v>8.4700000000000006</v>
      </c>
      <c r="K21" s="1">
        <v>7.1660000000000004</v>
      </c>
      <c r="L21" s="1">
        <v>4.2949999999999999</v>
      </c>
      <c r="M21" s="1">
        <v>4.2480000000000002</v>
      </c>
      <c r="N21" s="13" t="s">
        <v>255</v>
      </c>
      <c r="O21" s="1">
        <v>4.226</v>
      </c>
      <c r="P21" s="1">
        <v>4.2469999999999999</v>
      </c>
      <c r="Q21" s="1">
        <v>4.2290000000000001</v>
      </c>
      <c r="R21" s="1">
        <v>4.2279999999999998</v>
      </c>
      <c r="S21" s="1">
        <v>4.2690000000000001</v>
      </c>
      <c r="T21" s="1">
        <v>4.2649999999999997</v>
      </c>
      <c r="U21" s="13" t="s">
        <v>255</v>
      </c>
      <c r="V21" s="16" t="s">
        <v>270</v>
      </c>
    </row>
    <row r="22" spans="1:22" x14ac:dyDescent="0.2">
      <c r="A22" s="1" t="s">
        <v>224</v>
      </c>
      <c r="B22" s="14" t="s">
        <v>263</v>
      </c>
      <c r="C22" s="14" t="s">
        <v>264</v>
      </c>
      <c r="D22" s="13" t="s">
        <v>257</v>
      </c>
      <c r="E22" s="2">
        <v>42310</v>
      </c>
      <c r="F22" s="2">
        <v>42310</v>
      </c>
      <c r="G22" s="1">
        <v>12.779</v>
      </c>
      <c r="H22" s="1">
        <v>8.85</v>
      </c>
      <c r="I22" s="1">
        <v>8.18</v>
      </c>
      <c r="J22" s="1">
        <v>7.65</v>
      </c>
      <c r="K22" s="1">
        <v>12.779</v>
      </c>
      <c r="L22" s="1">
        <v>5.7</v>
      </c>
      <c r="M22" s="1">
        <v>5.585</v>
      </c>
      <c r="N22" s="1">
        <v>5.569</v>
      </c>
      <c r="O22" s="1">
        <v>5.6029999999999998</v>
      </c>
      <c r="P22" s="1">
        <v>5.593</v>
      </c>
      <c r="Q22" s="13" t="s">
        <v>255</v>
      </c>
      <c r="R22" s="1">
        <v>5.5659999999999998</v>
      </c>
      <c r="S22" s="1">
        <v>5.5609999999999999</v>
      </c>
      <c r="T22" s="1">
        <v>5.5640000000000001</v>
      </c>
      <c r="U22" s="1">
        <v>5.5529999999999999</v>
      </c>
      <c r="V22" s="16" t="s">
        <v>271</v>
      </c>
    </row>
    <row r="23" spans="1:22" x14ac:dyDescent="0.2">
      <c r="A23" s="1" t="s">
        <v>224</v>
      </c>
      <c r="B23" s="14" t="s">
        <v>263</v>
      </c>
      <c r="C23" s="14" t="s">
        <v>265</v>
      </c>
      <c r="D23" s="13" t="s">
        <v>257</v>
      </c>
      <c r="E23" s="2">
        <v>42310</v>
      </c>
      <c r="F23" s="2">
        <v>42310</v>
      </c>
      <c r="G23" s="1">
        <v>8.6199999999999992</v>
      </c>
      <c r="H23" s="1">
        <v>9.09</v>
      </c>
      <c r="I23" s="1">
        <v>8.4700000000000006</v>
      </c>
      <c r="J23" s="1">
        <v>8.5</v>
      </c>
      <c r="K23" s="1">
        <v>8.6199999999999992</v>
      </c>
      <c r="L23" s="1">
        <v>4.173</v>
      </c>
      <c r="M23" s="1">
        <v>4.0759999999999996</v>
      </c>
      <c r="N23" s="1">
        <v>4.0590000000000002</v>
      </c>
      <c r="O23" s="1">
        <v>4.0819999999999999</v>
      </c>
      <c r="P23" s="1">
        <v>4.0759999999999996</v>
      </c>
      <c r="Q23" s="13" t="s">
        <v>255</v>
      </c>
      <c r="R23" s="1">
        <v>4.0570000000000004</v>
      </c>
      <c r="S23" s="1">
        <v>4.0529999999999999</v>
      </c>
      <c r="T23" s="1">
        <v>4.0579999999999998</v>
      </c>
      <c r="U23" s="1">
        <v>4.048</v>
      </c>
      <c r="V23" s="16" t="s">
        <v>271</v>
      </c>
    </row>
    <row r="24" spans="1:22" x14ac:dyDescent="0.2">
      <c r="A24" s="1" t="s">
        <v>224</v>
      </c>
      <c r="B24" s="14" t="s">
        <v>263</v>
      </c>
      <c r="C24" s="14" t="s">
        <v>266</v>
      </c>
      <c r="D24" s="13" t="s">
        <v>257</v>
      </c>
      <c r="E24" s="2">
        <v>42310</v>
      </c>
      <c r="F24" s="2">
        <v>42310</v>
      </c>
      <c r="G24" s="1">
        <v>7.3</v>
      </c>
      <c r="H24" s="1">
        <v>7.65</v>
      </c>
      <c r="I24" s="1">
        <v>6.13</v>
      </c>
      <c r="J24" s="1">
        <v>5.88</v>
      </c>
      <c r="K24" s="1">
        <v>7.3</v>
      </c>
      <c r="L24" s="1">
        <v>3.153</v>
      </c>
      <c r="M24" s="1">
        <v>3.117</v>
      </c>
      <c r="N24" s="1">
        <v>3.1120000000000001</v>
      </c>
      <c r="O24" s="1">
        <v>3.1379999999999999</v>
      </c>
      <c r="P24" s="1">
        <v>3.133</v>
      </c>
      <c r="Q24" s="13" t="s">
        <v>255</v>
      </c>
      <c r="R24" s="1">
        <v>3.1150000000000002</v>
      </c>
      <c r="S24" s="1">
        <v>3.1139999999999999</v>
      </c>
      <c r="T24" s="1">
        <v>3.1150000000000002</v>
      </c>
      <c r="U24" s="1">
        <v>3.1080000000000001</v>
      </c>
      <c r="V24" s="16" t="s">
        <v>271</v>
      </c>
    </row>
    <row r="25" spans="1:22" x14ac:dyDescent="0.2">
      <c r="A25" s="1" t="s">
        <v>224</v>
      </c>
      <c r="B25" s="14" t="s">
        <v>263</v>
      </c>
      <c r="C25" s="14" t="s">
        <v>267</v>
      </c>
      <c r="D25" s="13" t="s">
        <v>257</v>
      </c>
      <c r="E25" s="2">
        <v>42310</v>
      </c>
      <c r="F25" s="2">
        <v>42310</v>
      </c>
      <c r="G25" s="1">
        <v>9.49</v>
      </c>
      <c r="H25" s="1">
        <v>7.85</v>
      </c>
      <c r="I25" s="1">
        <v>6.55</v>
      </c>
      <c r="J25" s="1">
        <v>6.9</v>
      </c>
      <c r="K25" s="1">
        <v>9.49</v>
      </c>
      <c r="L25" s="1">
        <v>3.8580000000000001</v>
      </c>
      <c r="M25" s="1">
        <v>3.778</v>
      </c>
      <c r="N25" s="1">
        <v>3.7690000000000001</v>
      </c>
      <c r="O25" s="1">
        <v>3.7970000000000002</v>
      </c>
      <c r="P25" s="1">
        <v>3.7869999999999999</v>
      </c>
      <c r="Q25" s="13" t="s">
        <v>255</v>
      </c>
      <c r="R25" s="1">
        <v>3.77</v>
      </c>
      <c r="S25" s="1">
        <v>3.7669999999999999</v>
      </c>
      <c r="T25" s="1">
        <v>3.7690000000000001</v>
      </c>
      <c r="U25" s="1">
        <v>3.762</v>
      </c>
      <c r="V25" s="16" t="s">
        <v>271</v>
      </c>
    </row>
    <row r="26" spans="1:22" x14ac:dyDescent="0.2">
      <c r="A26" s="1" t="s">
        <v>224</v>
      </c>
      <c r="B26" s="14" t="s">
        <v>263</v>
      </c>
      <c r="C26" s="14" t="s">
        <v>258</v>
      </c>
      <c r="D26" s="7" t="s">
        <v>143</v>
      </c>
      <c r="E26" s="2">
        <v>42310</v>
      </c>
      <c r="F26" s="2">
        <v>42310</v>
      </c>
      <c r="G26" s="1">
        <v>14.379</v>
      </c>
      <c r="H26" s="1">
        <v>11.04</v>
      </c>
      <c r="I26" s="1">
        <v>10.96</v>
      </c>
      <c r="J26" s="1">
        <v>11.09</v>
      </c>
      <c r="K26" s="1">
        <v>14.379</v>
      </c>
      <c r="L26" s="1">
        <v>8.3170000000000002</v>
      </c>
      <c r="M26" s="1">
        <v>8.1950000000000003</v>
      </c>
      <c r="N26" s="1">
        <v>8.1639999999999997</v>
      </c>
      <c r="O26" s="1">
        <v>8.234</v>
      </c>
      <c r="P26" s="1">
        <v>8.2279999999999998</v>
      </c>
      <c r="Q26" s="13" t="s">
        <v>255</v>
      </c>
      <c r="R26" s="13" t="s">
        <v>255</v>
      </c>
      <c r="S26" s="13" t="s">
        <v>255</v>
      </c>
      <c r="T26" s="13" t="s">
        <v>255</v>
      </c>
      <c r="U26" s="13" t="s">
        <v>255</v>
      </c>
      <c r="V26" s="17" t="s">
        <v>272</v>
      </c>
    </row>
    <row r="27" spans="1:22" x14ac:dyDescent="0.2">
      <c r="A27" s="1" t="s">
        <v>224</v>
      </c>
      <c r="B27" s="14" t="s">
        <v>263</v>
      </c>
      <c r="C27" s="14" t="s">
        <v>259</v>
      </c>
      <c r="D27" s="7" t="s">
        <v>143</v>
      </c>
      <c r="E27" s="2">
        <v>42310</v>
      </c>
      <c r="F27" s="2">
        <v>42310</v>
      </c>
      <c r="G27" s="1">
        <v>7.4809999999999999</v>
      </c>
      <c r="H27" s="1">
        <v>6.9</v>
      </c>
      <c r="I27" s="1">
        <v>6.69</v>
      </c>
      <c r="J27" s="1">
        <v>6.92</v>
      </c>
      <c r="K27" s="1">
        <v>7.4809999999999999</v>
      </c>
      <c r="L27" s="1">
        <v>3.5369999999999999</v>
      </c>
      <c r="M27" s="1">
        <v>3.5070000000000001</v>
      </c>
      <c r="N27" s="1">
        <v>3.4990000000000001</v>
      </c>
      <c r="O27" s="1">
        <v>3.5419999999999998</v>
      </c>
      <c r="P27" s="1">
        <v>3.53</v>
      </c>
      <c r="Q27" s="13" t="s">
        <v>255</v>
      </c>
      <c r="R27" s="1">
        <v>3.5070000000000001</v>
      </c>
      <c r="S27" s="1">
        <v>3.5070000000000001</v>
      </c>
      <c r="T27" s="1">
        <v>3.5169999999999999</v>
      </c>
      <c r="U27" s="1">
        <v>3.4969999999999999</v>
      </c>
      <c r="V27" s="16" t="s">
        <v>271</v>
      </c>
    </row>
    <row r="28" spans="1:22" x14ac:dyDescent="0.2">
      <c r="A28" s="1" t="s">
        <v>224</v>
      </c>
      <c r="B28" s="14" t="s">
        <v>263</v>
      </c>
      <c r="C28" s="14" t="s">
        <v>260</v>
      </c>
      <c r="D28" s="7" t="s">
        <v>24</v>
      </c>
      <c r="E28" s="2">
        <v>42310</v>
      </c>
      <c r="F28" s="2">
        <v>42311</v>
      </c>
      <c r="G28" s="1">
        <v>13.721</v>
      </c>
      <c r="H28" s="1">
        <v>9.7200000000000006</v>
      </c>
      <c r="I28" s="1">
        <v>9.66</v>
      </c>
      <c r="J28" s="1">
        <v>9.0299999999999994</v>
      </c>
      <c r="K28" s="1">
        <v>14.803000000000001</v>
      </c>
      <c r="L28" s="1">
        <v>6.218</v>
      </c>
      <c r="M28" s="1">
        <v>6.1710000000000003</v>
      </c>
      <c r="N28" s="1">
        <v>6.2320000000000002</v>
      </c>
      <c r="O28" s="1">
        <v>6.218</v>
      </c>
      <c r="P28" s="13" t="s">
        <v>255</v>
      </c>
      <c r="Q28" s="1">
        <v>6.1779999999999999</v>
      </c>
      <c r="R28" s="1">
        <v>6.1689999999999996</v>
      </c>
      <c r="S28" s="1">
        <v>6.1840000000000002</v>
      </c>
      <c r="T28" s="1">
        <v>6.16</v>
      </c>
      <c r="U28" s="1">
        <v>6.157</v>
      </c>
      <c r="V28" s="16" t="s">
        <v>271</v>
      </c>
    </row>
    <row r="29" spans="1:22" x14ac:dyDescent="0.2">
      <c r="A29" s="1" t="s">
        <v>224</v>
      </c>
      <c r="B29" s="14" t="s">
        <v>263</v>
      </c>
      <c r="C29" s="14" t="s">
        <v>261</v>
      </c>
      <c r="D29" s="7" t="s">
        <v>24</v>
      </c>
      <c r="E29" s="2">
        <v>42310</v>
      </c>
      <c r="F29" s="2">
        <v>42311</v>
      </c>
      <c r="G29" s="1">
        <v>21.25</v>
      </c>
      <c r="H29" s="1">
        <v>11.36</v>
      </c>
      <c r="I29" s="1">
        <v>11.31</v>
      </c>
      <c r="J29" s="1">
        <v>10.75</v>
      </c>
      <c r="K29" s="1">
        <v>17.122</v>
      </c>
      <c r="L29" s="1">
        <v>8.8089999999999993</v>
      </c>
      <c r="M29" s="1">
        <v>8.6649999999999991</v>
      </c>
      <c r="N29" s="1">
        <v>8.7129999999999992</v>
      </c>
      <c r="O29" s="1">
        <v>8.6989999999999998</v>
      </c>
      <c r="P29" s="13" t="s">
        <v>255</v>
      </c>
      <c r="Q29" s="1">
        <v>8.6419999999999995</v>
      </c>
      <c r="R29" s="1">
        <v>8.6289999999999996</v>
      </c>
      <c r="S29" s="1">
        <v>8.6579999999999995</v>
      </c>
      <c r="T29" s="1">
        <v>8.6180000000000003</v>
      </c>
      <c r="U29" s="1">
        <v>8.6120000000000001</v>
      </c>
      <c r="V29" s="16" t="s">
        <v>271</v>
      </c>
    </row>
    <row r="30" spans="1:22" x14ac:dyDescent="0.2">
      <c r="A30" s="1" t="s">
        <v>224</v>
      </c>
      <c r="B30" s="14" t="s">
        <v>263</v>
      </c>
      <c r="C30" s="14" t="s">
        <v>262</v>
      </c>
      <c r="D30" s="7" t="s">
        <v>24</v>
      </c>
      <c r="E30" s="2">
        <v>42310</v>
      </c>
      <c r="F30" s="2">
        <v>42311</v>
      </c>
      <c r="G30" s="1">
        <v>14.516</v>
      </c>
      <c r="H30" s="1">
        <v>9.1199999999999992</v>
      </c>
      <c r="I30" s="1">
        <v>10.050000000000001</v>
      </c>
      <c r="J30" s="1">
        <v>9.07</v>
      </c>
      <c r="K30" s="1">
        <v>17.013000000000002</v>
      </c>
      <c r="L30" s="1">
        <v>8.4849999999999994</v>
      </c>
      <c r="M30" s="1">
        <v>8.3480000000000008</v>
      </c>
      <c r="N30" s="1">
        <v>8.4049999999999994</v>
      </c>
      <c r="O30" s="1">
        <v>8.3960000000000008</v>
      </c>
      <c r="P30" s="13" t="s">
        <v>255</v>
      </c>
      <c r="Q30" s="1">
        <v>8.3339999999999996</v>
      </c>
      <c r="R30" s="1">
        <v>8.3230000000000004</v>
      </c>
      <c r="S30" s="1">
        <v>8.3780000000000001</v>
      </c>
      <c r="T30" s="1">
        <v>8.3149999999999995</v>
      </c>
      <c r="U30" s="1">
        <v>8.3059999999999992</v>
      </c>
      <c r="V30" s="16" t="s">
        <v>271</v>
      </c>
    </row>
    <row r="31" spans="1:22" x14ac:dyDescent="0.2">
      <c r="A31" s="1" t="s">
        <v>224</v>
      </c>
      <c r="B31" s="18" t="s">
        <v>273</v>
      </c>
      <c r="C31" s="18" t="s">
        <v>274</v>
      </c>
      <c r="D31" s="10" t="s">
        <v>68</v>
      </c>
      <c r="E31" s="2">
        <v>42318</v>
      </c>
      <c r="F31" s="2">
        <v>42318</v>
      </c>
      <c r="G31" s="1">
        <v>51.33</v>
      </c>
      <c r="H31" s="1">
        <v>14.75</v>
      </c>
      <c r="I31" s="1">
        <v>12.25</v>
      </c>
      <c r="J31" s="1">
        <v>12.63</v>
      </c>
      <c r="K31" s="1">
        <v>38.216999999999999</v>
      </c>
      <c r="L31" s="1">
        <v>23.312000000000001</v>
      </c>
      <c r="M31" s="1">
        <v>21.045999999999999</v>
      </c>
      <c r="N31" s="1">
        <v>20.622</v>
      </c>
      <c r="O31" s="1">
        <v>20.443999999999999</v>
      </c>
      <c r="P31" s="1">
        <v>20.338000000000001</v>
      </c>
      <c r="Q31" s="1">
        <v>20.289000000000001</v>
      </c>
      <c r="R31" s="1">
        <v>20.257999999999999</v>
      </c>
      <c r="S31" s="1">
        <v>20.239999999999998</v>
      </c>
      <c r="T31" s="1">
        <v>20.233000000000001</v>
      </c>
      <c r="U31" s="1">
        <v>20.228999999999999</v>
      </c>
    </row>
    <row r="32" spans="1:22" x14ac:dyDescent="0.2">
      <c r="A32" s="1" t="s">
        <v>224</v>
      </c>
      <c r="B32" s="18" t="s">
        <v>273</v>
      </c>
      <c r="C32" s="18" t="s">
        <v>275</v>
      </c>
      <c r="D32" s="10" t="s">
        <v>68</v>
      </c>
      <c r="E32" s="2">
        <v>42318</v>
      </c>
      <c r="F32" s="2">
        <v>42318</v>
      </c>
      <c r="G32" s="1">
        <v>35.119</v>
      </c>
      <c r="H32" s="1">
        <v>10.76</v>
      </c>
      <c r="I32" s="1">
        <v>10.99</v>
      </c>
      <c r="J32" s="1">
        <v>11.62</v>
      </c>
      <c r="K32" s="1">
        <v>29.167000000000002</v>
      </c>
      <c r="L32" s="1">
        <v>18.873999999999999</v>
      </c>
      <c r="M32" s="1">
        <v>17.707999999999998</v>
      </c>
      <c r="N32" s="1">
        <v>17.433</v>
      </c>
      <c r="O32" s="1">
        <v>17.303000000000001</v>
      </c>
      <c r="P32" s="1">
        <v>17.209</v>
      </c>
      <c r="Q32" s="1">
        <v>17.16</v>
      </c>
      <c r="R32" s="1">
        <v>17.129000000000001</v>
      </c>
      <c r="S32" s="1">
        <v>17.11</v>
      </c>
      <c r="T32" s="1">
        <v>17.103000000000002</v>
      </c>
      <c r="U32" s="1">
        <v>17.091000000000001</v>
      </c>
    </row>
    <row r="33" spans="1:21" x14ac:dyDescent="0.2">
      <c r="A33" s="1" t="s">
        <v>224</v>
      </c>
      <c r="B33" s="18" t="s">
        <v>273</v>
      </c>
      <c r="C33" s="18" t="s">
        <v>276</v>
      </c>
      <c r="D33" s="10" t="s">
        <v>68</v>
      </c>
      <c r="E33" s="2">
        <v>42318</v>
      </c>
      <c r="F33" s="2">
        <v>42318</v>
      </c>
      <c r="G33" s="1">
        <v>26.259</v>
      </c>
      <c r="H33" s="1">
        <v>11.56</v>
      </c>
      <c r="I33" s="1">
        <v>12.65</v>
      </c>
      <c r="J33" s="1">
        <v>13.59</v>
      </c>
      <c r="K33" s="1">
        <v>30.145</v>
      </c>
      <c r="L33" s="1">
        <v>18.597999999999999</v>
      </c>
      <c r="M33" s="1">
        <v>17.021999999999998</v>
      </c>
      <c r="N33" s="1">
        <v>16.756</v>
      </c>
      <c r="O33" s="1">
        <v>16.643999999999998</v>
      </c>
      <c r="P33" s="1">
        <v>16.582000000000001</v>
      </c>
      <c r="Q33" s="1">
        <v>16.542000000000002</v>
      </c>
      <c r="R33" s="1">
        <v>16.516999999999999</v>
      </c>
      <c r="S33" s="1">
        <v>16.506</v>
      </c>
      <c r="T33" s="1">
        <v>16.504999999999999</v>
      </c>
      <c r="U33" s="1">
        <v>16.495999999999999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twig_wd</vt:lpstr>
      <vt:lpstr>summary</vt:lpstr>
      <vt:lpstr>twig_drytime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Ran Lai</dc:creator>
  <cp:lastModifiedBy>Lai Hao Ran</cp:lastModifiedBy>
  <dcterms:created xsi:type="dcterms:W3CDTF">2015-05-28T13:46:26Z</dcterms:created>
  <dcterms:modified xsi:type="dcterms:W3CDTF">2017-03-22T04:54:36Z</dcterms:modified>
</cp:coreProperties>
</file>