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rmtt\Desktop\ternary_system\doc\"/>
    </mc:Choice>
  </mc:AlternateContent>
  <xr:revisionPtr revIDLastSave="0" documentId="13_ncr:1_{ABCD96AB-E51E-4D11-8450-DF42DD3CD12D}" xr6:coauthVersionLast="47" xr6:coauthVersionMax="47" xr10:uidLastSave="{00000000-0000-0000-0000-000000000000}"/>
  <bookViews>
    <workbookView xWindow="-108" yWindow="-108" windowWidth="30936" windowHeight="16896" activeTab="2" xr2:uid="{1151A338-1D02-469A-85A0-787DF47D6196}"/>
  </bookViews>
  <sheets>
    <sheet name="過剰混合ギブズエネルギー" sheetId="1" r:id="rId1"/>
    <sheet name="g12多項式近似" sheetId="2" r:id="rId2"/>
    <sheet name="g12Wei方式近似" sheetId="3" r:id="rId3"/>
  </sheets>
  <definedNames>
    <definedName name="_xlnm._FilterDatabase" localSheetId="0" hidden="1">過剰混合ギブズエネルギー!$A$1:$D$1</definedName>
    <definedName name="solver_adj" localSheetId="2" hidden="1">g12Wei方式近似!$M$23:$M$25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g12Wei方式近似!$F$24</definedName>
    <definedName name="solver_lhs2" localSheetId="2" hidden="1">g12Wei方式近似!$F$25</definedName>
    <definedName name="solver_lhs3" localSheetId="2" hidden="1">g12Wei方式近似!$F$25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g12Wei方式近似!$M$27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hs1" localSheetId="2" hidden="1">-100</definedName>
    <definedName name="solver_rhs2" localSheetId="2" hidden="1">-100</definedName>
    <definedName name="solver_rhs3" localSheetId="2" hidden="1">-100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100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" i="3" l="1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36" i="3"/>
  <c r="I25" i="3"/>
  <c r="J25" i="3" s="1"/>
  <c r="I26" i="3"/>
  <c r="J26" i="3" s="1"/>
  <c r="I27" i="3"/>
  <c r="J27" i="3" s="1"/>
  <c r="I28" i="3"/>
  <c r="J28" i="3" s="1"/>
  <c r="I29" i="3"/>
  <c r="J29" i="3" s="1"/>
  <c r="I30" i="3"/>
  <c r="J30" i="3" s="1"/>
  <c r="I31" i="3"/>
  <c r="J31" i="3" s="1"/>
  <c r="I32" i="3"/>
  <c r="J32" i="3" s="1"/>
  <c r="I24" i="3"/>
  <c r="J24" i="3" s="1"/>
  <c r="H25" i="3"/>
  <c r="H26" i="3"/>
  <c r="H27" i="3"/>
  <c r="H28" i="3"/>
  <c r="H29" i="3"/>
  <c r="H30" i="3"/>
  <c r="H31" i="3"/>
  <c r="H32" i="3"/>
  <c r="H24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36" i="3"/>
  <c r="B24" i="3"/>
  <c r="C24" i="3" s="1"/>
  <c r="B25" i="3"/>
  <c r="C25" i="3" s="1"/>
  <c r="B26" i="3"/>
  <c r="C26" i="3" s="1"/>
  <c r="B27" i="3"/>
  <c r="C27" i="3" s="1"/>
  <c r="B28" i="3"/>
  <c r="C28" i="3" s="1"/>
  <c r="B29" i="3"/>
  <c r="C29" i="3" s="1"/>
  <c r="B30" i="3"/>
  <c r="C30" i="3" s="1"/>
  <c r="B31" i="3"/>
  <c r="C31" i="3" s="1"/>
  <c r="B32" i="3"/>
  <c r="C32" i="3" s="1"/>
  <c r="B33" i="3"/>
  <c r="C33" i="3" s="1"/>
  <c r="A25" i="3"/>
  <c r="A26" i="3"/>
  <c r="A27" i="3"/>
  <c r="A28" i="3"/>
  <c r="A29" i="3"/>
  <c r="A30" i="3"/>
  <c r="A31" i="3"/>
  <c r="A32" i="3"/>
  <c r="A33" i="3"/>
  <c r="A24" i="3"/>
  <c r="G20" i="3"/>
  <c r="F20" i="3"/>
  <c r="B20" i="3"/>
  <c r="A20" i="3"/>
  <c r="G19" i="3"/>
  <c r="F19" i="3"/>
  <c r="B19" i="3"/>
  <c r="A19" i="3"/>
  <c r="G18" i="3"/>
  <c r="F18" i="3"/>
  <c r="B18" i="3"/>
  <c r="A18" i="3"/>
  <c r="G17" i="3"/>
  <c r="F17" i="3"/>
  <c r="B17" i="3"/>
  <c r="A17" i="3"/>
  <c r="G16" i="3"/>
  <c r="F16" i="3"/>
  <c r="B16" i="3"/>
  <c r="A16" i="3"/>
  <c r="G15" i="3"/>
  <c r="F15" i="3"/>
  <c r="B15" i="3"/>
  <c r="A15" i="3"/>
  <c r="G14" i="3"/>
  <c r="F14" i="3"/>
  <c r="B14" i="3"/>
  <c r="A14" i="3"/>
  <c r="G13" i="3"/>
  <c r="F13" i="3"/>
  <c r="B13" i="3"/>
  <c r="A13" i="3"/>
  <c r="G12" i="3"/>
  <c r="F12" i="3"/>
  <c r="B12" i="3"/>
  <c r="A12" i="3"/>
  <c r="G11" i="3"/>
  <c r="F11" i="3"/>
  <c r="B11" i="3"/>
  <c r="A11" i="3"/>
  <c r="G10" i="3"/>
  <c r="F10" i="3"/>
  <c r="B10" i="3"/>
  <c r="A10" i="3"/>
  <c r="G9" i="3"/>
  <c r="F9" i="3"/>
  <c r="B9" i="3"/>
  <c r="A9" i="3" s="1"/>
  <c r="L8" i="3"/>
  <c r="L9" i="3" s="1"/>
  <c r="D9" i="3" s="1"/>
  <c r="G8" i="3"/>
  <c r="F8" i="3"/>
  <c r="B8" i="3"/>
  <c r="A8" i="3"/>
  <c r="G7" i="3"/>
  <c r="F7" i="3"/>
  <c r="B7" i="3"/>
  <c r="A7" i="3"/>
  <c r="G6" i="3"/>
  <c r="F6" i="3"/>
  <c r="B6" i="3"/>
  <c r="A6" i="3"/>
  <c r="G5" i="3"/>
  <c r="F5" i="3"/>
  <c r="B5" i="3"/>
  <c r="A5" i="3"/>
  <c r="G4" i="3"/>
  <c r="F4" i="3"/>
  <c r="B4" i="3"/>
  <c r="A4" i="3"/>
  <c r="G3" i="3"/>
  <c r="F3" i="3"/>
  <c r="B3" i="3"/>
  <c r="A3" i="3"/>
  <c r="G2" i="3"/>
  <c r="F2" i="3"/>
  <c r="B2" i="3"/>
  <c r="A2" i="3"/>
  <c r="G1" i="3"/>
  <c r="F1" i="3"/>
  <c r="B1" i="3"/>
  <c r="B42" i="2"/>
  <c r="C42" i="2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1" i="2"/>
  <c r="G1" i="2"/>
  <c r="L8" i="2"/>
  <c r="L9" i="2" s="1"/>
  <c r="B2" i="2"/>
  <c r="A2" i="2" s="1"/>
  <c r="B3" i="2"/>
  <c r="A3" i="2" s="1"/>
  <c r="B4" i="2"/>
  <c r="A4" i="2" s="1"/>
  <c r="B5" i="2"/>
  <c r="A5" i="2" s="1"/>
  <c r="B6" i="2"/>
  <c r="A6" i="2" s="1"/>
  <c r="B7" i="2"/>
  <c r="A7" i="2" s="1"/>
  <c r="B8" i="2"/>
  <c r="A8" i="2" s="1"/>
  <c r="B9" i="2"/>
  <c r="B10" i="2"/>
  <c r="B11" i="2"/>
  <c r="A11" i="2" s="1"/>
  <c r="B12" i="2"/>
  <c r="A12" i="2" s="1"/>
  <c r="B13" i="2"/>
  <c r="A13" i="2" s="1"/>
  <c r="B14" i="2"/>
  <c r="A14" i="2" s="1"/>
  <c r="B15" i="2"/>
  <c r="B16" i="2"/>
  <c r="A16" i="2" s="1"/>
  <c r="B17" i="2"/>
  <c r="B18" i="2"/>
  <c r="A18" i="2" s="1"/>
  <c r="B19" i="2"/>
  <c r="A19" i="2" s="1"/>
  <c r="C19" i="2" s="1"/>
  <c r="L42" i="2" s="1"/>
  <c r="B20" i="2"/>
  <c r="A20" i="2" s="1"/>
  <c r="B1" i="2"/>
  <c r="D3" i="1"/>
  <c r="G3" i="2" s="1"/>
  <c r="D4" i="1"/>
  <c r="G4" i="2" s="1"/>
  <c r="D5" i="1"/>
  <c r="G5" i="2" s="1"/>
  <c r="D6" i="1"/>
  <c r="G6" i="2" s="1"/>
  <c r="D7" i="1"/>
  <c r="G7" i="2" s="1"/>
  <c r="D8" i="1"/>
  <c r="G8" i="2" s="1"/>
  <c r="D9" i="1"/>
  <c r="G9" i="2" s="1"/>
  <c r="D10" i="1"/>
  <c r="G10" i="2" s="1"/>
  <c r="D11" i="1"/>
  <c r="G11" i="2" s="1"/>
  <c r="D18" i="1"/>
  <c r="G12" i="2" s="1"/>
  <c r="D19" i="1"/>
  <c r="G13" i="2" s="1"/>
  <c r="D20" i="1"/>
  <c r="G14" i="2" s="1"/>
  <c r="D21" i="1"/>
  <c r="G15" i="2" s="1"/>
  <c r="D22" i="1"/>
  <c r="G16" i="2" s="1"/>
  <c r="D23" i="1"/>
  <c r="G17" i="2" s="1"/>
  <c r="D24" i="1"/>
  <c r="G18" i="2" s="1"/>
  <c r="D25" i="1"/>
  <c r="G19" i="2" s="1"/>
  <c r="D26" i="1"/>
  <c r="G20" i="2" s="1"/>
  <c r="D2" i="1"/>
  <c r="G2" i="2" s="1"/>
  <c r="M27" i="3" l="1"/>
  <c r="F27" i="3"/>
  <c r="C2" i="3"/>
  <c r="C3" i="3"/>
  <c r="C4" i="3"/>
  <c r="C5" i="3"/>
  <c r="C6" i="3"/>
  <c r="C7" i="3"/>
  <c r="C8" i="3"/>
  <c r="C10" i="3"/>
  <c r="C11" i="3"/>
  <c r="C12" i="3"/>
  <c r="C13" i="3"/>
  <c r="C14" i="3"/>
  <c r="C15" i="3"/>
  <c r="C16" i="3"/>
  <c r="C17" i="3"/>
  <c r="C18" i="3"/>
  <c r="C19" i="3"/>
  <c r="C20" i="3"/>
  <c r="D2" i="3"/>
  <c r="H2" i="3" s="1"/>
  <c r="D3" i="3"/>
  <c r="H3" i="3" s="1"/>
  <c r="D4" i="3"/>
  <c r="H4" i="3" s="1"/>
  <c r="D5" i="3"/>
  <c r="H5" i="3" s="1"/>
  <c r="D6" i="3"/>
  <c r="H6" i="3" s="1"/>
  <c r="D7" i="3"/>
  <c r="H7" i="3" s="1"/>
  <c r="D8" i="3"/>
  <c r="H8" i="3" s="1"/>
  <c r="C9" i="3"/>
  <c r="D10" i="3"/>
  <c r="H10" i="3" s="1"/>
  <c r="D11" i="3"/>
  <c r="H11" i="3" s="1"/>
  <c r="D12" i="3"/>
  <c r="H12" i="3" s="1"/>
  <c r="D13" i="3"/>
  <c r="H13" i="3" s="1"/>
  <c r="D14" i="3"/>
  <c r="H14" i="3" s="1"/>
  <c r="D15" i="3"/>
  <c r="H15" i="3" s="1"/>
  <c r="D16" i="3"/>
  <c r="H16" i="3" s="1"/>
  <c r="D17" i="3"/>
  <c r="H17" i="3" s="1"/>
  <c r="D18" i="3"/>
  <c r="H18" i="3" s="1"/>
  <c r="D19" i="3"/>
  <c r="H19" i="3" s="1"/>
  <c r="D20" i="3"/>
  <c r="H20" i="3" s="1"/>
  <c r="D42" i="2"/>
  <c r="C20" i="2"/>
  <c r="C12" i="2"/>
  <c r="Q42" i="2"/>
  <c r="P42" i="2"/>
  <c r="N42" i="2"/>
  <c r="M42" i="2"/>
  <c r="O42" i="2"/>
  <c r="C4" i="2"/>
  <c r="C11" i="2"/>
  <c r="C3" i="2"/>
  <c r="C2" i="2"/>
  <c r="C16" i="2"/>
  <c r="C7" i="2"/>
  <c r="C14" i="2"/>
  <c r="C8" i="2"/>
  <c r="C13" i="2"/>
  <c r="C5" i="2"/>
  <c r="C18" i="2"/>
  <c r="C6" i="2"/>
  <c r="A17" i="2"/>
  <c r="D8" i="2"/>
  <c r="H8" i="2" s="1"/>
  <c r="A10" i="2"/>
  <c r="D2" i="2"/>
  <c r="D13" i="2"/>
  <c r="H13" i="2" s="1"/>
  <c r="D5" i="2"/>
  <c r="H5" i="2" s="1"/>
  <c r="A15" i="2"/>
  <c r="D14" i="2"/>
  <c r="A9" i="2"/>
  <c r="D20" i="2"/>
  <c r="D12" i="2"/>
  <c r="E12" i="2" s="1"/>
  <c r="D4" i="2"/>
  <c r="D6" i="2"/>
  <c r="D19" i="2"/>
  <c r="E19" i="2" s="1"/>
  <c r="D11" i="2"/>
  <c r="D3" i="2"/>
  <c r="D7" i="2"/>
  <c r="D18" i="2"/>
  <c r="D16" i="2"/>
  <c r="E9" i="3" l="1"/>
  <c r="E20" i="3"/>
  <c r="E19" i="3"/>
  <c r="E18" i="3"/>
  <c r="E17" i="3"/>
  <c r="E16" i="3"/>
  <c r="E15" i="3"/>
  <c r="E14" i="3"/>
  <c r="E13" i="3"/>
  <c r="E12" i="3"/>
  <c r="E11" i="3"/>
  <c r="E10" i="3"/>
  <c r="E8" i="3"/>
  <c r="E7" i="3"/>
  <c r="E6" i="3"/>
  <c r="E5" i="3"/>
  <c r="E4" i="3"/>
  <c r="E3" i="3"/>
  <c r="E2" i="3"/>
  <c r="H9" i="3"/>
  <c r="K28" i="2"/>
  <c r="A28" i="2"/>
  <c r="K31" i="2"/>
  <c r="A31" i="2"/>
  <c r="L29" i="2"/>
  <c r="B29" i="2"/>
  <c r="L28" i="2"/>
  <c r="B28" i="2"/>
  <c r="L31" i="2"/>
  <c r="B31" i="2"/>
  <c r="L30" i="2"/>
  <c r="B30" i="2"/>
  <c r="L25" i="2"/>
  <c r="B25" i="2"/>
  <c r="L34" i="2"/>
  <c r="B34" i="2"/>
  <c r="L43" i="2"/>
  <c r="B43" i="2"/>
  <c r="H7" i="2"/>
  <c r="H11" i="2"/>
  <c r="H6" i="2"/>
  <c r="K36" i="2"/>
  <c r="A36" i="2"/>
  <c r="L41" i="2"/>
  <c r="N41" i="2" s="1"/>
  <c r="B41" i="2"/>
  <c r="L36" i="2"/>
  <c r="N36" i="2" s="1"/>
  <c r="B36" i="2"/>
  <c r="L37" i="2"/>
  <c r="Q37" i="2" s="1"/>
  <c r="B37" i="2"/>
  <c r="L39" i="2"/>
  <c r="P39" i="2" s="1"/>
  <c r="B39" i="2"/>
  <c r="L26" i="2"/>
  <c r="P26" i="2" s="1"/>
  <c r="B26" i="2"/>
  <c r="L27" i="2"/>
  <c r="O27" i="2" s="1"/>
  <c r="B27" i="2"/>
  <c r="L35" i="2"/>
  <c r="B35" i="2"/>
  <c r="N35" i="2"/>
  <c r="E20" i="2"/>
  <c r="P43" i="2"/>
  <c r="H18" i="2"/>
  <c r="E3" i="2"/>
  <c r="H14" i="2"/>
  <c r="H19" i="2"/>
  <c r="P35" i="2"/>
  <c r="H3" i="2"/>
  <c r="C17" i="2"/>
  <c r="E16" i="2"/>
  <c r="C10" i="2"/>
  <c r="M37" i="2"/>
  <c r="N37" i="2"/>
  <c r="C9" i="2"/>
  <c r="C15" i="2"/>
  <c r="Q41" i="2"/>
  <c r="M41" i="2"/>
  <c r="P41" i="2"/>
  <c r="Q26" i="2"/>
  <c r="M26" i="2"/>
  <c r="H12" i="2"/>
  <c r="M39" i="2"/>
  <c r="O39" i="2"/>
  <c r="O28" i="2"/>
  <c r="N28" i="2"/>
  <c r="P28" i="2"/>
  <c r="Q28" i="2"/>
  <c r="M28" i="2"/>
  <c r="Q34" i="2"/>
  <c r="N34" i="2"/>
  <c r="P34" i="2"/>
  <c r="M34" i="2"/>
  <c r="O34" i="2"/>
  <c r="H20" i="2"/>
  <c r="Q30" i="2"/>
  <c r="P30" i="2"/>
  <c r="M30" i="2"/>
  <c r="N30" i="2"/>
  <c r="O30" i="2"/>
  <c r="Q29" i="2"/>
  <c r="M29" i="2"/>
  <c r="O29" i="2"/>
  <c r="N29" i="2"/>
  <c r="P29" i="2"/>
  <c r="O25" i="2"/>
  <c r="Q25" i="2"/>
  <c r="N25" i="2"/>
  <c r="P25" i="2"/>
  <c r="M25" i="2"/>
  <c r="O36" i="2"/>
  <c r="P36" i="2"/>
  <c r="M36" i="2"/>
  <c r="P27" i="2"/>
  <c r="Q27" i="2"/>
  <c r="H4" i="2"/>
  <c r="H2" i="2"/>
  <c r="M31" i="2"/>
  <c r="P31" i="2"/>
  <c r="Q31" i="2"/>
  <c r="O31" i="2"/>
  <c r="N31" i="2"/>
  <c r="H16" i="2"/>
  <c r="E13" i="2"/>
  <c r="E4" i="2"/>
  <c r="E8" i="2"/>
  <c r="E7" i="2"/>
  <c r="E14" i="2"/>
  <c r="E11" i="2"/>
  <c r="E6" i="2"/>
  <c r="E5" i="2"/>
  <c r="D17" i="2"/>
  <c r="E17" i="2" s="1"/>
  <c r="E2" i="2"/>
  <c r="D9" i="2"/>
  <c r="E9" i="2" s="1"/>
  <c r="E18" i="2"/>
  <c r="D15" i="2"/>
  <c r="D10" i="2"/>
  <c r="K27" i="2" l="1"/>
  <c r="A27" i="2"/>
  <c r="K43" i="2"/>
  <c r="A43" i="2"/>
  <c r="K35" i="2"/>
  <c r="A35" i="2"/>
  <c r="L32" i="2"/>
  <c r="B32" i="2"/>
  <c r="L33" i="2"/>
  <c r="B33" i="2"/>
  <c r="L40" i="2"/>
  <c r="B40" i="2"/>
  <c r="K37" i="2"/>
  <c r="A37" i="2"/>
  <c r="K41" i="2"/>
  <c r="A41" i="2"/>
  <c r="Q35" i="2"/>
  <c r="M35" i="2"/>
  <c r="K34" i="2"/>
  <c r="A34" i="2"/>
  <c r="D43" i="2"/>
  <c r="C43" i="2"/>
  <c r="C34" i="2"/>
  <c r="D34" i="2"/>
  <c r="C25" i="2"/>
  <c r="D25" i="2"/>
  <c r="C30" i="2"/>
  <c r="D30" i="2"/>
  <c r="D31" i="2"/>
  <c r="C31" i="2"/>
  <c r="C28" i="2"/>
  <c r="D28" i="2"/>
  <c r="D29" i="2"/>
  <c r="C29" i="2"/>
  <c r="E10" i="2"/>
  <c r="K39" i="2"/>
  <c r="A39" i="2"/>
  <c r="K25" i="2"/>
  <c r="A25" i="2"/>
  <c r="M27" i="2"/>
  <c r="N27" i="2"/>
  <c r="Q36" i="2"/>
  <c r="N39" i="2"/>
  <c r="Q39" i="2"/>
  <c r="O26" i="2"/>
  <c r="N26" i="2"/>
  <c r="O41" i="2"/>
  <c r="L38" i="2"/>
  <c r="B38" i="2"/>
  <c r="P37" i="2"/>
  <c r="O37" i="2"/>
  <c r="K26" i="2"/>
  <c r="A26" i="2"/>
  <c r="K42" i="2"/>
  <c r="A42" i="2"/>
  <c r="O35" i="2"/>
  <c r="D35" i="2"/>
  <c r="C35" i="2"/>
  <c r="D27" i="2"/>
  <c r="C27" i="2"/>
  <c r="C26" i="2"/>
  <c r="D26" i="2"/>
  <c r="D39" i="2"/>
  <c r="C39" i="2"/>
  <c r="D37" i="2"/>
  <c r="C37" i="2"/>
  <c r="C36" i="2"/>
  <c r="D36" i="2"/>
  <c r="D41" i="2"/>
  <c r="C41" i="2"/>
  <c r="K29" i="2"/>
  <c r="A29" i="2"/>
  <c r="K30" i="2"/>
  <c r="A30" i="2"/>
  <c r="O43" i="2"/>
  <c r="Q43" i="2"/>
  <c r="M43" i="2"/>
  <c r="N43" i="2"/>
  <c r="E15" i="2"/>
  <c r="O38" i="2"/>
  <c r="P38" i="2"/>
  <c r="M38" i="2"/>
  <c r="Q38" i="2"/>
  <c r="N38" i="2"/>
  <c r="H10" i="2"/>
  <c r="H9" i="2"/>
  <c r="Q33" i="2"/>
  <c r="N33" i="2"/>
  <c r="M33" i="2"/>
  <c r="O33" i="2"/>
  <c r="P33" i="2"/>
  <c r="N32" i="2"/>
  <c r="M32" i="2"/>
  <c r="P32" i="2"/>
  <c r="O32" i="2"/>
  <c r="Q32" i="2"/>
  <c r="H17" i="2"/>
  <c r="H15" i="2"/>
  <c r="N40" i="2"/>
  <c r="P40" i="2"/>
  <c r="O40" i="2"/>
  <c r="Q40" i="2"/>
  <c r="M40" i="2"/>
  <c r="K38" i="2" l="1"/>
  <c r="A38" i="2"/>
  <c r="K32" i="2"/>
  <c r="A32" i="2"/>
  <c r="C38" i="2"/>
  <c r="D38" i="2"/>
  <c r="F31" i="2" s="1" a="1"/>
  <c r="C40" i="2"/>
  <c r="D40" i="2"/>
  <c r="D33" i="2"/>
  <c r="C33" i="2"/>
  <c r="C32" i="2"/>
  <c r="F24" i="2" s="1" a="1"/>
  <c r="D32" i="2"/>
  <c r="K40" i="2"/>
  <c r="A40" i="2"/>
  <c r="K33" i="2"/>
  <c r="A33" i="2"/>
  <c r="S31" i="2" a="1"/>
  <c r="S24" i="2" a="1"/>
  <c r="S31" i="2"/>
  <c r="M48" i="2" s="1"/>
  <c r="M58" i="2"/>
  <c r="M57" i="2"/>
  <c r="M52" i="2"/>
  <c r="M61" i="2"/>
  <c r="M63" i="2"/>
  <c r="F31" i="2" l="1"/>
  <c r="C48" i="2"/>
  <c r="C50" i="2"/>
  <c r="C52" i="2"/>
  <c r="C54" i="2"/>
  <c r="C56" i="2"/>
  <c r="C58" i="2"/>
  <c r="C60" i="2"/>
  <c r="C62" i="2"/>
  <c r="C64" i="2"/>
  <c r="C66" i="2"/>
  <c r="C47" i="2"/>
  <c r="C49" i="2"/>
  <c r="C51" i="2"/>
  <c r="C53" i="2"/>
  <c r="C55" i="2"/>
  <c r="C57" i="2"/>
  <c r="C59" i="2"/>
  <c r="C61" i="2"/>
  <c r="C63" i="2"/>
  <c r="C65" i="2"/>
  <c r="C67" i="2"/>
  <c r="F24" i="2"/>
  <c r="B48" i="2"/>
  <c r="B50" i="2"/>
  <c r="B52" i="2"/>
  <c r="B54" i="2"/>
  <c r="B56" i="2"/>
  <c r="B58" i="2"/>
  <c r="B60" i="2"/>
  <c r="B62" i="2"/>
  <c r="B64" i="2"/>
  <c r="B66" i="2"/>
  <c r="B47" i="2"/>
  <c r="B49" i="2"/>
  <c r="B51" i="2"/>
  <c r="B53" i="2"/>
  <c r="B55" i="2"/>
  <c r="B57" i="2"/>
  <c r="B59" i="2"/>
  <c r="B61" i="2"/>
  <c r="B63" i="2"/>
  <c r="B65" i="2"/>
  <c r="B67" i="2"/>
  <c r="S24" i="2"/>
  <c r="L47" i="2"/>
  <c r="L66" i="2"/>
  <c r="L64" i="2"/>
  <c r="L65" i="2"/>
  <c r="L54" i="2"/>
  <c r="L60" i="2"/>
  <c r="M62" i="2"/>
  <c r="M47" i="2"/>
  <c r="M50" i="2"/>
  <c r="M59" i="2"/>
  <c r="M56" i="2"/>
  <c r="L48" i="2"/>
  <c r="L62" i="2"/>
  <c r="L55" i="2"/>
  <c r="L50" i="2"/>
  <c r="L51" i="2"/>
  <c r="M51" i="2"/>
  <c r="M55" i="2"/>
  <c r="M54" i="2"/>
  <c r="M53" i="2"/>
  <c r="M60" i="2"/>
  <c r="M67" i="2"/>
  <c r="M65" i="2"/>
  <c r="M49" i="2"/>
  <c r="M66" i="2"/>
  <c r="M64" i="2"/>
  <c r="L61" i="2"/>
  <c r="L57" i="2"/>
  <c r="L59" i="2"/>
  <c r="L58" i="2"/>
  <c r="L67" i="2"/>
  <c r="L49" i="2"/>
  <c r="L53" i="2"/>
  <c r="L63" i="2"/>
  <c r="L52" i="2"/>
  <c r="L5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<sst xmlns="http://schemas.openxmlformats.org/spreadsheetml/2006/main" count="113" uniqueCount="57">
  <si>
    <t>温度 [K]</t>
    <phoneticPr fontId="1"/>
  </si>
  <si>
    <t>x2 [-]</t>
    <phoneticPr fontId="1"/>
  </si>
  <si>
    <r>
      <t>G</t>
    </r>
    <r>
      <rPr>
        <b/>
        <vertAlign val="superscript"/>
        <sz val="11"/>
        <color theme="1"/>
        <rFont val="Meiryo UI"/>
        <family val="3"/>
        <charset val="128"/>
        <scheme val="minor"/>
      </rPr>
      <t>M</t>
    </r>
    <r>
      <rPr>
        <b/>
        <sz val="11"/>
        <color theme="1"/>
        <rFont val="Meiryo UI"/>
        <family val="3"/>
        <charset val="128"/>
        <scheme val="minor"/>
      </rPr>
      <t xml:space="preserve"> [J/kmol]</t>
    </r>
    <phoneticPr fontId="1"/>
  </si>
  <si>
    <r>
      <t>G</t>
    </r>
    <r>
      <rPr>
        <b/>
        <vertAlign val="superscript"/>
        <sz val="11"/>
        <color theme="1"/>
        <rFont val="Meiryo UI"/>
        <family val="3"/>
        <charset val="128"/>
        <scheme val="minor"/>
      </rPr>
      <t>M</t>
    </r>
    <r>
      <rPr>
        <b/>
        <sz val="11"/>
        <color theme="1"/>
        <rFont val="Meiryo UI"/>
        <family val="3"/>
        <charset val="128"/>
        <scheme val="minor"/>
      </rPr>
      <t xml:space="preserve"> [J/mol]</t>
    </r>
    <phoneticPr fontId="1"/>
  </si>
  <si>
    <t>φ1</t>
    <phoneticPr fontId="1"/>
  </si>
  <si>
    <t>φ2 [-]</t>
    <phoneticPr fontId="1"/>
  </si>
  <si>
    <t>φ1 [-]</t>
    <phoneticPr fontId="1"/>
  </si>
  <si>
    <t>x1 [-]</t>
    <phoneticPr fontId="1"/>
  </si>
  <si>
    <t>水のモル体積</t>
    <rPh sb="0" eb="1">
      <t>ミズ</t>
    </rPh>
    <rPh sb="4" eb="6">
      <t>タイセキ</t>
    </rPh>
    <phoneticPr fontId="1"/>
  </si>
  <si>
    <t>ν1</t>
    <phoneticPr fontId="1"/>
  </si>
  <si>
    <t>m3/mol</t>
    <phoneticPr fontId="1"/>
  </si>
  <si>
    <t>NMPのモル体積</t>
    <rPh sb="6" eb="8">
      <t>タイセキ</t>
    </rPh>
    <phoneticPr fontId="1"/>
  </si>
  <si>
    <t>v2</t>
    <phoneticPr fontId="1"/>
  </si>
  <si>
    <t>水の密度</t>
    <rPh sb="0" eb="1">
      <t>ミズ</t>
    </rPh>
    <rPh sb="2" eb="4">
      <t>ミツド</t>
    </rPh>
    <phoneticPr fontId="1"/>
  </si>
  <si>
    <t>kg/m3</t>
    <phoneticPr fontId="1"/>
  </si>
  <si>
    <t>NMPの密度</t>
    <rPh sb="4" eb="6">
      <t>ミツド</t>
    </rPh>
    <phoneticPr fontId="1"/>
  </si>
  <si>
    <t>ρ2</t>
    <phoneticPr fontId="1"/>
  </si>
  <si>
    <t>ρ1</t>
    <phoneticPr fontId="1"/>
  </si>
  <si>
    <t>水の分子量</t>
    <rPh sb="0" eb="1">
      <t>ミズ</t>
    </rPh>
    <rPh sb="2" eb="5">
      <t>ブンシリョウ</t>
    </rPh>
    <phoneticPr fontId="1"/>
  </si>
  <si>
    <t>NMPの分子量</t>
    <rPh sb="4" eb="7">
      <t>ブンシリョウ</t>
    </rPh>
    <phoneticPr fontId="1"/>
  </si>
  <si>
    <t>M1</t>
    <phoneticPr fontId="1"/>
  </si>
  <si>
    <t>M2</t>
    <phoneticPr fontId="1"/>
  </si>
  <si>
    <t>g/mol</t>
    <phoneticPr fontId="1"/>
  </si>
  <si>
    <t>s=ν1/ν2</t>
    <phoneticPr fontId="1"/>
  </si>
  <si>
    <t>-</t>
    <phoneticPr fontId="1"/>
  </si>
  <si>
    <t>check</t>
    <phoneticPr fontId="1"/>
  </si>
  <si>
    <t>気体定数</t>
    <rPh sb="0" eb="4">
      <t>キタイテイスウ</t>
    </rPh>
    <phoneticPr fontId="1"/>
  </si>
  <si>
    <t>R</t>
    <phoneticPr fontId="1"/>
  </si>
  <si>
    <t>J/(mol･K)</t>
    <phoneticPr fontId="1"/>
  </si>
  <si>
    <t>g12 [-]</t>
    <phoneticPr fontId="1"/>
  </si>
  <si>
    <t>y</t>
    <phoneticPr fontId="1"/>
  </si>
  <si>
    <t>x^1</t>
    <phoneticPr fontId="1"/>
  </si>
  <si>
    <t>x^2</t>
    <phoneticPr fontId="1"/>
  </si>
  <si>
    <t>x^3</t>
    <phoneticPr fontId="1"/>
  </si>
  <si>
    <t>x^4</t>
    <phoneticPr fontId="1"/>
  </si>
  <si>
    <t>4次多項式近似準備</t>
    <rPh sb="1" eb="2">
      <t>ジ</t>
    </rPh>
    <rPh sb="2" eb="5">
      <t>タコウシキ</t>
    </rPh>
    <rPh sb="5" eb="7">
      <t>キンジ</t>
    </rPh>
    <rPh sb="7" eb="9">
      <t>ジュンビ</t>
    </rPh>
    <phoneticPr fontId="1"/>
  </si>
  <si>
    <t>298K フィッティング結果</t>
    <rPh sb="12" eb="14">
      <t>ケッカ</t>
    </rPh>
    <phoneticPr fontId="1"/>
  </si>
  <si>
    <t>x^5</t>
    <phoneticPr fontId="1"/>
  </si>
  <si>
    <t>x^6</t>
    <phoneticPr fontId="1"/>
  </si>
  <si>
    <t>g12 (298K)</t>
    <phoneticPr fontId="1"/>
  </si>
  <si>
    <t>g12 (308K)</t>
    <phoneticPr fontId="1"/>
  </si>
  <si>
    <t>4次近似式の再現</t>
    <rPh sb="1" eb="2">
      <t>ジ</t>
    </rPh>
    <rPh sb="2" eb="5">
      <t>キンジシキ</t>
    </rPh>
    <rPh sb="6" eb="8">
      <t>サイゲン</t>
    </rPh>
    <phoneticPr fontId="1"/>
  </si>
  <si>
    <t>3次多項式近似準備</t>
    <rPh sb="1" eb="2">
      <t>ジ</t>
    </rPh>
    <rPh sb="2" eb="5">
      <t>タコウシキ</t>
    </rPh>
    <rPh sb="5" eb="7">
      <t>キンジ</t>
    </rPh>
    <rPh sb="7" eb="9">
      <t>ジュンビ</t>
    </rPh>
    <phoneticPr fontId="1"/>
  </si>
  <si>
    <t>308K フィッティング結果</t>
    <rPh sb="12" eb="14">
      <t>ケッカ</t>
    </rPh>
    <phoneticPr fontId="1"/>
  </si>
  <si>
    <t>3次近似式の再現</t>
    <rPh sb="1" eb="2">
      <t>ジ</t>
    </rPh>
    <rPh sb="2" eb="5">
      <t>キンジシキ</t>
    </rPh>
    <rPh sb="6" eb="8">
      <t>サイゲン</t>
    </rPh>
    <phoneticPr fontId="1"/>
  </si>
  <si>
    <t>変数の意味</t>
    <rPh sb="0" eb="2">
      <t>ヘンスウ</t>
    </rPh>
    <rPh sb="3" eb="5">
      <t>イミ</t>
    </rPh>
    <phoneticPr fontId="1"/>
  </si>
  <si>
    <t>変数</t>
    <rPh sb="0" eb="2">
      <t>ヘンスウ</t>
    </rPh>
    <phoneticPr fontId="1"/>
  </si>
  <si>
    <t>値</t>
    <rPh sb="0" eb="1">
      <t>アタイ</t>
    </rPh>
    <phoneticPr fontId="1"/>
  </si>
  <si>
    <t>単位</t>
    <rPh sb="0" eb="2">
      <t>タンイ</t>
    </rPh>
    <phoneticPr fontId="1"/>
  </si>
  <si>
    <t xml:space="preserve">298K フィッティング </t>
    <phoneticPr fontId="1"/>
  </si>
  <si>
    <t>α</t>
    <phoneticPr fontId="1"/>
  </si>
  <si>
    <t>β</t>
    <phoneticPr fontId="1"/>
  </si>
  <si>
    <t>γ</t>
    <phoneticPr fontId="1"/>
  </si>
  <si>
    <t>φ2</t>
    <phoneticPr fontId="1"/>
  </si>
  <si>
    <t>g12</t>
    <phoneticPr fontId="1"/>
  </si>
  <si>
    <t>残差^2</t>
    <rPh sb="0" eb="2">
      <t>ザンサ</t>
    </rPh>
    <phoneticPr fontId="1"/>
  </si>
  <si>
    <t>MSE*1000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</si>
</sst>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b/>
      <sz val="11"/>
      <color theme="1"/>
      <name val="Meiryo UI"/>
      <family val="3"/>
      <charset val="128"/>
      <scheme val="minor"/>
    </font>
    <font>
      <b/>
      <vertAlign val="superscript"/>
      <sz val="11"/>
      <color theme="1"/>
      <name val="Meiryo U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1" fontId="0" fillId="0" borderId="4" xfId="0" applyNumberFormat="1" applyBorder="1">
      <alignment vertical="center"/>
    </xf>
    <xf numFmtId="11" fontId="0" fillId="0" borderId="0" xfId="0" applyNumberFormat="1" applyBorder="1">
      <alignment vertical="center"/>
    </xf>
    <xf numFmtId="11" fontId="0" fillId="0" borderId="6" xfId="0" applyNumberFormat="1" applyBorder="1">
      <alignment vertical="center"/>
    </xf>
    <xf numFmtId="11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026657495838498"/>
          <c:y val="5.227797842822126E-2"/>
          <c:w val="0.71178475302052213"/>
          <c:h val="0.67410261189437071"/>
        </c:manualLayout>
      </c:layout>
      <c:scatterChart>
        <c:scatterStyle val="lineMarker"/>
        <c:varyColors val="0"/>
        <c:ser>
          <c:idx val="0"/>
          <c:order val="0"/>
          <c:tx>
            <c:v>298K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過剰混合ギブズエネルギー!$A$2:$A$11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0.33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</c:numCache>
            </c:numRef>
          </c:xVal>
          <c:yVal>
            <c:numRef>
              <c:f>過剰混合ギブズエネルギー!$D$2:$D$11</c:f>
              <c:numCache>
                <c:formatCode>General</c:formatCode>
                <c:ptCount val="10"/>
                <c:pt idx="0">
                  <c:v>-519</c:v>
                </c:pt>
                <c:pt idx="1">
                  <c:v>-992</c:v>
                </c:pt>
                <c:pt idx="2">
                  <c:v>-1485</c:v>
                </c:pt>
                <c:pt idx="3">
                  <c:v>-1967</c:v>
                </c:pt>
                <c:pt idx="4">
                  <c:v>-2380</c:v>
                </c:pt>
                <c:pt idx="5">
                  <c:v>-2660</c:v>
                </c:pt>
                <c:pt idx="6">
                  <c:v>-2600</c:v>
                </c:pt>
                <c:pt idx="7">
                  <c:v>-2739</c:v>
                </c:pt>
                <c:pt idx="8">
                  <c:v>-2505</c:v>
                </c:pt>
                <c:pt idx="9">
                  <c:v>-1738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5-49CB-BE15-3BB2FDE37154}"/>
            </c:ext>
          </c:extLst>
        </c:ser>
        <c:ser>
          <c:idx val="1"/>
          <c:order val="1"/>
          <c:tx>
            <c:v>308K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過剰混合ギブズエネルギー!$A$18:$A$26</c:f>
              <c:numCache>
                <c:formatCode>General</c:formatCode>
                <c:ptCount val="9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</c:numCache>
            </c:numRef>
          </c:xVal>
          <c:yVal>
            <c:numRef>
              <c:f>過剰混合ギブズエネルギー!$D$18:$D$26</c:f>
              <c:numCache>
                <c:formatCode>General</c:formatCode>
                <c:ptCount val="9"/>
                <c:pt idx="0">
                  <c:v>-462</c:v>
                </c:pt>
                <c:pt idx="1">
                  <c:v>-952</c:v>
                </c:pt>
                <c:pt idx="2">
                  <c:v>-1423</c:v>
                </c:pt>
                <c:pt idx="3">
                  <c:v>-1860</c:v>
                </c:pt>
                <c:pt idx="4">
                  <c:v>-2243</c:v>
                </c:pt>
                <c:pt idx="5">
                  <c:v>-2521</c:v>
                </c:pt>
                <c:pt idx="6">
                  <c:v>-2601</c:v>
                </c:pt>
                <c:pt idx="7">
                  <c:v>-2335</c:v>
                </c:pt>
                <c:pt idx="8">
                  <c:v>-1539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65-49CB-BE15-3BB2FDE37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269808"/>
        <c:axId val="717271120"/>
      </c:scatterChart>
      <c:valAx>
        <c:axId val="71726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/>
                  <a:t>NMP</a:t>
                </a:r>
                <a:r>
                  <a:rPr lang="ja-JP" altLang="en-US" sz="1400"/>
                  <a:t>モル分率 </a:t>
                </a:r>
                <a:r>
                  <a:rPr lang="en-US" altLang="ja-JP" sz="1400" i="1"/>
                  <a:t>x</a:t>
                </a:r>
                <a:r>
                  <a:rPr lang="en-US" altLang="ja-JP" sz="1400" baseline="-25000"/>
                  <a:t>2</a:t>
                </a:r>
                <a:r>
                  <a:rPr lang="en-US" altLang="ja-JP" sz="1400"/>
                  <a:t>[-]</a:t>
                </a:r>
                <a:endParaRPr lang="ja-JP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7271120"/>
        <c:crossesAt val="-3000"/>
        <c:crossBetween val="midCat"/>
      </c:valAx>
      <c:valAx>
        <c:axId val="7172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i="1"/>
                  <a:t>G</a:t>
                </a:r>
                <a:r>
                  <a:rPr lang="en-US" altLang="ja-JP" sz="1400" baseline="30000"/>
                  <a:t>M</a:t>
                </a:r>
                <a:r>
                  <a:rPr lang="en-US" altLang="ja-JP" sz="1400" baseline="0"/>
                  <a:t> [J/mol]</a:t>
                </a:r>
                <a:endParaRPr lang="ja-JP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726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015840253654857"/>
          <c:y val="7.4307742782152256E-2"/>
          <c:w val="0.14024707209742987"/>
          <c:h val="0.172183166697731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424577890285"/>
          <c:y val="5.227797842822126E-2"/>
          <c:w val="0.54142701923758674"/>
          <c:h val="0.67410261189437071"/>
        </c:manualLayout>
      </c:layout>
      <c:scatterChart>
        <c:scatterStyle val="lineMarker"/>
        <c:varyColors val="0"/>
        <c:ser>
          <c:idx val="0"/>
          <c:order val="0"/>
          <c:tx>
            <c:v>298K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g12多項式近似!$C$2:$C$11</c:f>
              <c:numCache>
                <c:formatCode>0.00E+00</c:formatCode>
                <c:ptCount val="10"/>
                <c:pt idx="0">
                  <c:v>2.0357742859966395E-2</c:v>
                </c:pt>
                <c:pt idx="1">
                  <c:v>4.4668240736279084E-2</c:v>
                </c:pt>
                <c:pt idx="2">
                  <c:v>7.4206502741718167E-2</c:v>
                </c:pt>
                <c:pt idx="3">
                  <c:v>0.1108619607139654</c:v>
                </c:pt>
                <c:pt idx="4">
                  <c:v>0.15755927594119148</c:v>
                </c:pt>
                <c:pt idx="5">
                  <c:v>0.21907988025838979</c:v>
                </c:pt>
                <c:pt idx="6">
                  <c:v>0.27521618621592697</c:v>
                </c:pt>
                <c:pt idx="7">
                  <c:v>0.30381347004705389</c:v>
                </c:pt>
                <c:pt idx="8">
                  <c:v>0.42795314213168678</c:v>
                </c:pt>
                <c:pt idx="9">
                  <c:v>0.62731681642167003</c:v>
                </c:pt>
              </c:numCache>
            </c:numRef>
          </c:xVal>
          <c:yVal>
            <c:numRef>
              <c:f>g12多項式近似!$H$2:$H$11</c:f>
              <c:numCache>
                <c:formatCode>0.00E+00</c:formatCode>
                <c:ptCount val="10"/>
                <c:pt idx="0">
                  <c:v>-1.2913766714255368</c:v>
                </c:pt>
                <c:pt idx="1">
                  <c:v>-1.2682632921583279</c:v>
                </c:pt>
                <c:pt idx="2">
                  <c:v>-1.3526195120999391</c:v>
                </c:pt>
                <c:pt idx="3">
                  <c:v>-1.4514506205618123</c:v>
                </c:pt>
                <c:pt idx="4">
                  <c:v>-1.5278075302222651</c:v>
                </c:pt>
                <c:pt idx="5">
                  <c:v>-1.5711368963773451</c:v>
                </c:pt>
                <c:pt idx="6">
                  <c:v>-1.466979086078777</c:v>
                </c:pt>
                <c:pt idx="7">
                  <c:v>-1.5866128909409316</c:v>
                </c:pt>
                <c:pt idx="8">
                  <c:v>-1.5737934726088458</c:v>
                </c:pt>
                <c:pt idx="9">
                  <c:v>-1.5140103131496225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AA-4AE4-AA7A-C28B8EBDAF78}"/>
            </c:ext>
          </c:extLst>
        </c:ser>
        <c:ser>
          <c:idx val="1"/>
          <c:order val="1"/>
          <c:tx>
            <c:v>308K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g12多項式近似!$C$12:$C$20</c:f>
              <c:numCache>
                <c:formatCode>0.00E+00</c:formatCode>
                <c:ptCount val="9"/>
                <c:pt idx="0">
                  <c:v>2.0357742859966395E-2</c:v>
                </c:pt>
                <c:pt idx="1">
                  <c:v>4.4668240736279084E-2</c:v>
                </c:pt>
                <c:pt idx="2">
                  <c:v>7.4206502741718167E-2</c:v>
                </c:pt>
                <c:pt idx="3">
                  <c:v>0.1108619607139654</c:v>
                </c:pt>
                <c:pt idx="4">
                  <c:v>0.15755927594119148</c:v>
                </c:pt>
                <c:pt idx="5">
                  <c:v>0.21907988025838979</c:v>
                </c:pt>
                <c:pt idx="6">
                  <c:v>0.30381347004705389</c:v>
                </c:pt>
                <c:pt idx="7">
                  <c:v>0.42795314213168678</c:v>
                </c:pt>
                <c:pt idx="8">
                  <c:v>0.62731681642167003</c:v>
                </c:pt>
              </c:numCache>
            </c:numRef>
          </c:xVal>
          <c:yVal>
            <c:numRef>
              <c:f>g12多項式近似!$H$12:$H$20</c:f>
              <c:numCache>
                <c:formatCode>0.00E+00</c:formatCode>
                <c:ptCount val="9"/>
                <c:pt idx="0">
                  <c:v>-0.99583285786358167</c:v>
                </c:pt>
                <c:pt idx="1">
                  <c:v>-1.1195466118006885</c:v>
                </c:pt>
                <c:pt idx="2">
                  <c:v>-1.1964851691771323</c:v>
                </c:pt>
                <c:pt idx="3">
                  <c:v>-1.262633231573862</c:v>
                </c:pt>
                <c:pt idx="4">
                  <c:v>-1.3279221123422738</c:v>
                </c:pt>
                <c:pt idx="5">
                  <c:v>-1.3820689432890265</c:v>
                </c:pt>
                <c:pt idx="6">
                  <c:v>-1.4035408629153976</c:v>
                </c:pt>
                <c:pt idx="7">
                  <c:v>-1.3581321650903104</c:v>
                </c:pt>
                <c:pt idx="8">
                  <c:v>-1.2154940293363214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AA-4AE4-AA7A-C28B8EBDAF78}"/>
            </c:ext>
          </c:extLst>
        </c:ser>
        <c:ser>
          <c:idx val="2"/>
          <c:order val="2"/>
          <c:tx>
            <c:v>298近似(4次)</c:v>
          </c:tx>
          <c:spPr>
            <a:ln w="127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g12多項式近似!$K$47:$K$67</c:f>
              <c:numCache>
                <c:formatCode>0.00E+00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g12多項式近似!$L$47:$L$67</c:f>
              <c:numCache>
                <c:formatCode>0.00E+00</c:formatCode>
                <c:ptCount val="21"/>
                <c:pt idx="0">
                  <c:v>-1.1841321859959233</c:v>
                </c:pt>
                <c:pt idx="1">
                  <c:v>-1.3286402623759821</c:v>
                </c:pt>
                <c:pt idx="2">
                  <c:v>-1.4255438607064248</c:v>
                </c:pt>
                <c:pt idx="3">
                  <c:v>-1.4872590394856733</c:v>
                </c:pt>
                <c:pt idx="4">
                  <c:v>-1.524234384817815</c:v>
                </c:pt>
                <c:pt idx="5">
                  <c:v>-1.5449510104126047</c:v>
                </c:pt>
                <c:pt idx="6">
                  <c:v>-1.5559225575854634</c:v>
                </c:pt>
                <c:pt idx="7">
                  <c:v>-1.5616951952574785</c:v>
                </c:pt>
                <c:pt idx="8">
                  <c:v>-1.5648476199554051</c:v>
                </c:pt>
                <c:pt idx="9">
                  <c:v>-1.5659910558116632</c:v>
                </c:pt>
                <c:pt idx="10">
                  <c:v>-1.5637692545643402</c:v>
                </c:pt>
                <c:pt idx="11">
                  <c:v>-1.5548584955571905</c:v>
                </c:pt>
                <c:pt idx="12">
                  <c:v>-1.5339675857396342</c:v>
                </c:pt>
                <c:pt idx="13">
                  <c:v>-1.4938378596667592</c:v>
                </c:pt>
                <c:pt idx="14">
                  <c:v>-1.4252431794993177</c:v>
                </c:pt>
                <c:pt idx="15">
                  <c:v>-1.3169899350037308</c:v>
                </c:pt>
                <c:pt idx="16">
                  <c:v>-1.155917043552086</c:v>
                </c:pt>
                <c:pt idx="17">
                  <c:v>-0.92689595012213921</c:v>
                </c:pt>
                <c:pt idx="18">
                  <c:v>-0.61283062729730453</c:v>
                </c:pt>
                <c:pt idx="19">
                  <c:v>-0.1946575752666746</c:v>
                </c:pt>
                <c:pt idx="20">
                  <c:v>0.34865417817499988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AA-4AE4-AA7A-C28B8EBDAF78}"/>
            </c:ext>
          </c:extLst>
        </c:ser>
        <c:ser>
          <c:idx val="3"/>
          <c:order val="3"/>
          <c:tx>
            <c:v>308近似(4次)</c:v>
          </c:tx>
          <c:spPr>
            <a:ln w="127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g12多項式近似!$K$47:$K$67</c:f>
              <c:numCache>
                <c:formatCode>0.00E+00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g12多項式近似!$M$47:$M$67</c:f>
              <c:numCache>
                <c:formatCode>0.00E+00</c:formatCode>
                <c:ptCount val="21"/>
                <c:pt idx="0">
                  <c:v>-0.92232385110682458</c:v>
                </c:pt>
                <c:pt idx="1">
                  <c:v>-1.1179691976037367</c:v>
                </c:pt>
                <c:pt idx="2">
                  <c:v>-1.2483480174283126</c:v>
                </c:pt>
                <c:pt idx="3">
                  <c:v>-1.3290768864185218</c:v>
                </c:pt>
                <c:pt idx="4">
                  <c:v>-1.373450674989745</c:v>
                </c:pt>
                <c:pt idx="5">
                  <c:v>-1.3924425481347764</c:v>
                </c:pt>
                <c:pt idx="6">
                  <c:v>-1.3947039654238211</c:v>
                </c:pt>
                <c:pt idx="7">
                  <c:v>-1.3865646810044976</c:v>
                </c:pt>
                <c:pt idx="8">
                  <c:v>-1.3720327436018365</c:v>
                </c:pt>
                <c:pt idx="9">
                  <c:v>-1.3527944965182814</c:v>
                </c:pt>
                <c:pt idx="10">
                  <c:v>-1.3282145776336853</c:v>
                </c:pt>
                <c:pt idx="11">
                  <c:v>-1.2953359194053169</c:v>
                </c:pt>
                <c:pt idx="12">
                  <c:v>-1.2488797488678558</c:v>
                </c:pt>
                <c:pt idx="13">
                  <c:v>-1.1812455876333936</c:v>
                </c:pt>
                <c:pt idx="14">
                  <c:v>-1.0825112518914333</c:v>
                </c:pt>
                <c:pt idx="15">
                  <c:v>-0.94043285240889407</c:v>
                </c:pt>
                <c:pt idx="16">
                  <c:v>-0.74044479453010137</c:v>
                </c:pt>
                <c:pt idx="17">
                  <c:v>-0.46565977817680171</c:v>
                </c:pt>
                <c:pt idx="18">
                  <c:v>-9.6868797848143728E-2</c:v>
                </c:pt>
                <c:pt idx="19">
                  <c:v>0.38745885737930941</c:v>
                </c:pt>
                <c:pt idx="20">
                  <c:v>1.0111756038515729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AA-4AE4-AA7A-C28B8EBDAF78}"/>
            </c:ext>
          </c:extLst>
        </c:ser>
        <c:ser>
          <c:idx val="4"/>
          <c:order val="4"/>
          <c:tx>
            <c:v>298近似(3次)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g12多項式近似!$A$47:$A$67</c:f>
              <c:numCache>
                <c:formatCode>0.00E+00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g12多項式近似!$B$47:$B$67</c:f>
              <c:numCache>
                <c:formatCode>0.00E+00</c:formatCode>
                <c:ptCount val="21"/>
                <c:pt idx="0">
                  <c:v>-1.2086276879058564</c:v>
                </c:pt>
                <c:pt idx="1">
                  <c:v>-1.3255967863214211</c:v>
                </c:pt>
                <c:pt idx="2">
                  <c:v>-1.4120771516167678</c:v>
                </c:pt>
                <c:pt idx="3">
                  <c:v>-1.4690507450545276</c:v>
                </c:pt>
                <c:pt idx="4">
                  <c:v>-1.498154168739086</c:v>
                </c:pt>
                <c:pt idx="5">
                  <c:v>-1.5016786656165824</c:v>
                </c:pt>
                <c:pt idx="6">
                  <c:v>-1.4825701194749104</c:v>
                </c:pt>
                <c:pt idx="7">
                  <c:v>-1.4444290549437173</c:v>
                </c:pt>
                <c:pt idx="8">
                  <c:v>-1.391510637494406</c:v>
                </c:pt>
                <c:pt idx="9">
                  <c:v>-1.328724673440131</c:v>
                </c:pt>
                <c:pt idx="10">
                  <c:v>-1.2616356099358041</c:v>
                </c:pt>
                <c:pt idx="11">
                  <c:v>-1.196462534978088</c:v>
                </c:pt>
                <c:pt idx="12">
                  <c:v>-1.140079177405402</c:v>
                </c:pt>
                <c:pt idx="13">
                  <c:v>-1.1000139068979187</c:v>
                </c:pt>
                <c:pt idx="14">
                  <c:v>-1.0844497339775636</c:v>
                </c:pt>
                <c:pt idx="15">
                  <c:v>-1.1022243100080191</c:v>
                </c:pt>
                <c:pt idx="16">
                  <c:v>-1.1628299271947189</c:v>
                </c:pt>
                <c:pt idx="17">
                  <c:v>-1.2764135185848522</c:v>
                </c:pt>
                <c:pt idx="18">
                  <c:v>-1.4537766580673623</c:v>
                </c:pt>
                <c:pt idx="19">
                  <c:v>-1.706375560372948</c:v>
                </c:pt>
                <c:pt idx="20">
                  <c:v>-2.0463210810740584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16-4FEE-8CC6-FC3FDE453FB4}"/>
            </c:ext>
          </c:extLst>
        </c:ser>
        <c:ser>
          <c:idx val="5"/>
          <c:order val="5"/>
          <c:tx>
            <c:v>308近似(3次)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g12多項式近似!$A$47:$A$67</c:f>
              <c:numCache>
                <c:formatCode>0.00E+00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g12多項式近似!$C$47:$C$67</c:f>
              <c:numCache>
                <c:formatCode>0.00E+00</c:formatCode>
                <c:ptCount val="21"/>
                <c:pt idx="0">
                  <c:v>-0.94928818695449713</c:v>
                </c:pt>
                <c:pt idx="1">
                  <c:v>-1.1139760472790725</c:v>
                </c:pt>
                <c:pt idx="2">
                  <c:v>-1.2323611876845952</c:v>
                </c:pt>
                <c:pt idx="3">
                  <c:v>-1.3058992134393668</c:v>
                </c:pt>
                <c:pt idx="4">
                  <c:v>-1.3370161333238892</c:v>
                </c:pt>
                <c:pt idx="5">
                  <c:v>-1.3291083596308655</c:v>
                </c:pt>
                <c:pt idx="6">
                  <c:v>-1.286542708165199</c:v>
                </c:pt>
                <c:pt idx="7">
                  <c:v>-1.2146563982439951</c:v>
                </c:pt>
                <c:pt idx="8">
                  <c:v>-1.1197570526965583</c:v>
                </c:pt>
                <c:pt idx="9">
                  <c:v>-1.0091226978643961</c:v>
                </c:pt>
                <c:pt idx="10">
                  <c:v>-0.8910017636012153</c:v>
                </c:pt>
                <c:pt idx="11">
                  <c:v>-0.774613083272923</c:v>
                </c:pt>
                <c:pt idx="12">
                  <c:v>-0.67014589375762845</c:v>
                </c:pt>
                <c:pt idx="13">
                  <c:v>-0.58875983544564159</c:v>
                </c:pt>
                <c:pt idx="14">
                  <c:v>-0.54258495223947389</c:v>
                </c:pt>
                <c:pt idx="15">
                  <c:v>-0.54472169155383465</c:v>
                </c:pt>
                <c:pt idx="16">
                  <c:v>-0.60924090431563727</c:v>
                </c:pt>
                <c:pt idx="17">
                  <c:v>-0.75118384496399493</c:v>
                </c:pt>
                <c:pt idx="18">
                  <c:v>-0.9865621714502204</c:v>
                </c:pt>
                <c:pt idx="19">
                  <c:v>-1.3323579452378311</c:v>
                </c:pt>
                <c:pt idx="20">
                  <c:v>-1.8065236313025386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16-4FEE-8CC6-FC3FDE453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269808"/>
        <c:axId val="717271120"/>
      </c:scatterChart>
      <c:valAx>
        <c:axId val="7172698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400"/>
                  <a:t>水の体積分率 </a:t>
                </a:r>
                <a:r>
                  <a:rPr lang="en-US" altLang="ja-JP" sz="1400" i="1"/>
                  <a:t>φ</a:t>
                </a:r>
                <a:r>
                  <a:rPr lang="en-US" altLang="ja-JP" sz="1400" baseline="-25000"/>
                  <a:t>1</a:t>
                </a:r>
                <a:r>
                  <a:rPr lang="en-US" altLang="ja-JP" sz="1400"/>
                  <a:t>[-]</a:t>
                </a:r>
                <a:endParaRPr lang="ja-JP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7271120"/>
        <c:crossesAt val="-3000"/>
        <c:crossBetween val="midCat"/>
        <c:majorUnit val="0.2"/>
      </c:valAx>
      <c:valAx>
        <c:axId val="717271120"/>
        <c:scaling>
          <c:orientation val="minMax"/>
          <c:max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i="1" baseline="0"/>
                  <a:t>g</a:t>
                </a:r>
                <a:r>
                  <a:rPr lang="en-US" altLang="ja-JP" sz="1400" i="0" baseline="-25000"/>
                  <a:t>12</a:t>
                </a:r>
                <a:r>
                  <a:rPr lang="en-US" altLang="ja-JP" sz="1400" baseline="0"/>
                  <a:t> [-]</a:t>
                </a:r>
                <a:endParaRPr lang="ja-JP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7269808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743474569937704"/>
          <c:y val="0.41359357424071991"/>
          <c:w val="0.27870738900397246"/>
          <c:h val="0.3121129780652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424577890285"/>
          <c:y val="5.227797842822126E-2"/>
          <c:w val="0.54142701923758674"/>
          <c:h val="0.67410261189437071"/>
        </c:manualLayout>
      </c:layout>
      <c:scatterChart>
        <c:scatterStyle val="lineMarker"/>
        <c:varyColors val="0"/>
        <c:ser>
          <c:idx val="0"/>
          <c:order val="0"/>
          <c:tx>
            <c:v>298K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g12Wei方式近似!$C$2:$C$11</c:f>
              <c:numCache>
                <c:formatCode>0.00E+00</c:formatCode>
                <c:ptCount val="10"/>
                <c:pt idx="0">
                  <c:v>2.0357742859966395E-2</c:v>
                </c:pt>
                <c:pt idx="1">
                  <c:v>4.4668240736279084E-2</c:v>
                </c:pt>
                <c:pt idx="2">
                  <c:v>7.4206502741718167E-2</c:v>
                </c:pt>
                <c:pt idx="3">
                  <c:v>0.1108619607139654</c:v>
                </c:pt>
                <c:pt idx="4">
                  <c:v>0.15755927594119148</c:v>
                </c:pt>
                <c:pt idx="5">
                  <c:v>0.21907988025838979</c:v>
                </c:pt>
                <c:pt idx="6">
                  <c:v>0.27521618621592697</c:v>
                </c:pt>
                <c:pt idx="7">
                  <c:v>0.30381347004705389</c:v>
                </c:pt>
                <c:pt idx="8">
                  <c:v>0.42795314213168678</c:v>
                </c:pt>
                <c:pt idx="9">
                  <c:v>0.62731681642167003</c:v>
                </c:pt>
              </c:numCache>
            </c:numRef>
          </c:xVal>
          <c:yVal>
            <c:numRef>
              <c:f>g12Wei方式近似!$H$2:$H$11</c:f>
              <c:numCache>
                <c:formatCode>0.00E+00</c:formatCode>
                <c:ptCount val="10"/>
                <c:pt idx="0">
                  <c:v>-1.2913766714255368</c:v>
                </c:pt>
                <c:pt idx="1">
                  <c:v>-1.2682632921583279</c:v>
                </c:pt>
                <c:pt idx="2">
                  <c:v>-1.3526195120999391</c:v>
                </c:pt>
                <c:pt idx="3">
                  <c:v>-1.4514506205618123</c:v>
                </c:pt>
                <c:pt idx="4">
                  <c:v>-1.5278075302222651</c:v>
                </c:pt>
                <c:pt idx="5">
                  <c:v>-1.5711368963773451</c:v>
                </c:pt>
                <c:pt idx="6">
                  <c:v>-1.466979086078777</c:v>
                </c:pt>
                <c:pt idx="7">
                  <c:v>-1.5866128909409316</c:v>
                </c:pt>
                <c:pt idx="8">
                  <c:v>-1.5737934726088458</c:v>
                </c:pt>
                <c:pt idx="9">
                  <c:v>-1.5140103131496225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44-41F4-97F4-FDB48BE7F155}"/>
            </c:ext>
          </c:extLst>
        </c:ser>
        <c:ser>
          <c:idx val="1"/>
          <c:order val="1"/>
          <c:tx>
            <c:v>308K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g12Wei方式近似!$C$12:$C$20</c:f>
              <c:numCache>
                <c:formatCode>0.00E+00</c:formatCode>
                <c:ptCount val="9"/>
                <c:pt idx="0">
                  <c:v>2.0357742859966395E-2</c:v>
                </c:pt>
                <c:pt idx="1">
                  <c:v>4.4668240736279084E-2</c:v>
                </c:pt>
                <c:pt idx="2">
                  <c:v>7.4206502741718167E-2</c:v>
                </c:pt>
                <c:pt idx="3">
                  <c:v>0.1108619607139654</c:v>
                </c:pt>
                <c:pt idx="4">
                  <c:v>0.15755927594119148</c:v>
                </c:pt>
                <c:pt idx="5">
                  <c:v>0.21907988025838979</c:v>
                </c:pt>
                <c:pt idx="6">
                  <c:v>0.30381347004705389</c:v>
                </c:pt>
                <c:pt idx="7">
                  <c:v>0.42795314213168678</c:v>
                </c:pt>
                <c:pt idx="8">
                  <c:v>0.62731681642167003</c:v>
                </c:pt>
              </c:numCache>
            </c:numRef>
          </c:xVal>
          <c:yVal>
            <c:numRef>
              <c:f>g12Wei方式近似!$H$12:$H$20</c:f>
              <c:numCache>
                <c:formatCode>0.00E+00</c:formatCode>
                <c:ptCount val="9"/>
                <c:pt idx="0">
                  <c:v>-0.99583285786358167</c:v>
                </c:pt>
                <c:pt idx="1">
                  <c:v>-1.1195466118006885</c:v>
                </c:pt>
                <c:pt idx="2">
                  <c:v>-1.1964851691771323</c:v>
                </c:pt>
                <c:pt idx="3">
                  <c:v>-1.262633231573862</c:v>
                </c:pt>
                <c:pt idx="4">
                  <c:v>-1.3279221123422738</c:v>
                </c:pt>
                <c:pt idx="5">
                  <c:v>-1.3820689432890265</c:v>
                </c:pt>
                <c:pt idx="6">
                  <c:v>-1.4035408629153976</c:v>
                </c:pt>
                <c:pt idx="7">
                  <c:v>-1.3581321650903104</c:v>
                </c:pt>
                <c:pt idx="8">
                  <c:v>-1.2154940293363214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44-41F4-97F4-FDB48BE7F155}"/>
            </c:ext>
          </c:extLst>
        </c:ser>
        <c:ser>
          <c:idx val="2"/>
          <c:order val="2"/>
          <c:tx>
            <c:v>298近似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g12Wei方式近似!$A$36:$A$56</c:f>
              <c:numCache>
                <c:formatCode>0.00E+00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g12Wei方式近似!$B$36:$B$56</c:f>
              <c:numCache>
                <c:formatCode>0.00E+00</c:formatCode>
                <c:ptCount val="21"/>
                <c:pt idx="0">
                  <c:v>-1.4152869051335133</c:v>
                </c:pt>
                <c:pt idx="1">
                  <c:v>-1.4212971870249824</c:v>
                </c:pt>
                <c:pt idx="2">
                  <c:v>-1.4279679394539757</c:v>
                </c:pt>
                <c:pt idx="3">
                  <c:v>-1.4354143607700611</c:v>
                </c:pt>
                <c:pt idx="4">
                  <c:v>-1.4437800933597373</c:v>
                </c:pt>
                <c:pt idx="5">
                  <c:v>-1.4532465802375287</c:v>
                </c:pt>
                <c:pt idx="6">
                  <c:v>-1.4640463751262769</c:v>
                </c:pt>
                <c:pt idx="7">
                  <c:v>-1.4764825025739261</c:v>
                </c:pt>
                <c:pt idx="8">
                  <c:v>-1.4909573394392228</c:v>
                </c:pt>
                <c:pt idx="9">
                  <c:v>-1.508016968601894</c:v>
                </c:pt>
                <c:pt idx="10">
                  <c:v>-1.5284216230905789</c:v>
                </c:pt>
                <c:pt idx="11">
                  <c:v>-1.5532620720333261</c:v>
                </c:pt>
                <c:pt idx="12">
                  <c:v>-1.58416116705967</c:v>
                </c:pt>
                <c:pt idx="13">
                  <c:v>-1.623643344037776</c:v>
                </c:pt>
                <c:pt idx="14">
                  <c:v>-1.6758617071378517</c:v>
                </c:pt>
                <c:pt idx="15">
                  <c:v>-1.7481640560456491</c:v>
                </c:pt>
                <c:pt idx="16">
                  <c:v>-1.8548960949095401</c:v>
                </c:pt>
                <c:pt idx="17">
                  <c:v>-2.0283356580633631</c:v>
                </c:pt>
                <c:pt idx="18">
                  <c:v>-2.3594475513570252</c:v>
                </c:pt>
                <c:pt idx="19">
                  <c:v>-3.2424126001401228</c:v>
                </c:pt>
                <c:pt idx="20">
                  <c:v>-12.955028136754212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44-41F4-97F4-FDB48BE7F155}"/>
            </c:ext>
          </c:extLst>
        </c:ser>
        <c:ser>
          <c:idx val="3"/>
          <c:order val="3"/>
          <c:tx>
            <c:v>308近似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g12Wei方式近似!$H$36:$H$56</c:f>
              <c:numCache>
                <c:formatCode>0.00E+00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g12Wei方式近似!$I$36:$I$56</c:f>
              <c:numCache>
                <c:formatCode>0.00E+00</c:formatCode>
                <c:ptCount val="21"/>
                <c:pt idx="0">
                  <c:v>-1.1875148524145134</c:v>
                </c:pt>
                <c:pt idx="1">
                  <c:v>-1.2018171497734178</c:v>
                </c:pt>
                <c:pt idx="2">
                  <c:v>-1.2161661180800989</c:v>
                </c:pt>
                <c:pt idx="3">
                  <c:v>-1.2305619861513337</c:v>
                </c:pt>
                <c:pt idx="4">
                  <c:v>-1.245004984302132</c:v>
                </c:pt>
                <c:pt idx="5">
                  <c:v>-1.259495344358009</c:v>
                </c:pt>
                <c:pt idx="6">
                  <c:v>-1.2740332996673986</c:v>
                </c:pt>
                <c:pt idx="7">
                  <c:v>-1.2886190851141786</c:v>
                </c:pt>
                <c:pt idx="8">
                  <c:v>-1.3032529371303125</c:v>
                </c:pt>
                <c:pt idx="9">
                  <c:v>-1.3179350937086314</c:v>
                </c:pt>
                <c:pt idx="10">
                  <c:v>-1.3326657944157363</c:v>
                </c:pt>
                <c:pt idx="11">
                  <c:v>-1.347445280405025</c:v>
                </c:pt>
                <c:pt idx="12">
                  <c:v>-1.3622737944298509</c:v>
                </c:pt>
                <c:pt idx="13">
                  <c:v>-1.3771515808568244</c:v>
                </c:pt>
                <c:pt idx="14">
                  <c:v>-1.3920788856792177</c:v>
                </c:pt>
                <c:pt idx="15">
                  <c:v>-1.4070559565305425</c:v>
                </c:pt>
                <c:pt idx="16">
                  <c:v>-1.4220830426982252</c:v>
                </c:pt>
                <c:pt idx="17">
                  <c:v>-1.4371603951374547</c:v>
                </c:pt>
                <c:pt idx="18">
                  <c:v>-1.4522882664851418</c:v>
                </c:pt>
                <c:pt idx="19">
                  <c:v>-1.4674669110740348</c:v>
                </c:pt>
                <c:pt idx="20">
                  <c:v>-1.4826965849469724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44-41F4-97F4-FDB48BE7F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269808"/>
        <c:axId val="717271120"/>
      </c:scatterChart>
      <c:valAx>
        <c:axId val="7172698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400"/>
                  <a:t>水の体積分率 </a:t>
                </a:r>
                <a:r>
                  <a:rPr lang="en-US" altLang="ja-JP" sz="1400" i="1"/>
                  <a:t>φ</a:t>
                </a:r>
                <a:r>
                  <a:rPr lang="en-US" altLang="ja-JP" sz="1400" baseline="-25000"/>
                  <a:t>1</a:t>
                </a:r>
                <a:r>
                  <a:rPr lang="en-US" altLang="ja-JP" sz="1400"/>
                  <a:t>[-]</a:t>
                </a:r>
                <a:endParaRPr lang="ja-JP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7271120"/>
        <c:crossesAt val="-3000"/>
        <c:crossBetween val="midCat"/>
        <c:majorUnit val="0.2"/>
      </c:valAx>
      <c:valAx>
        <c:axId val="717271120"/>
        <c:scaling>
          <c:orientation val="minMax"/>
          <c:max val="0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i="1" baseline="0"/>
                  <a:t>g</a:t>
                </a:r>
                <a:r>
                  <a:rPr lang="en-US" altLang="ja-JP" sz="1400" i="0" baseline="-25000"/>
                  <a:t>12</a:t>
                </a:r>
                <a:r>
                  <a:rPr lang="en-US" altLang="ja-JP" sz="1400" baseline="0"/>
                  <a:t> [-]</a:t>
                </a:r>
                <a:endParaRPr lang="ja-JP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7269808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743474569937704"/>
          <c:y val="0.41359357424071991"/>
          <c:w val="0.27870738900397246"/>
          <c:h val="0.3121129780652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743585</xdr:colOff>
      <xdr:row>1</xdr:row>
      <xdr:rowOff>73660</xdr:rowOff>
    </xdr:from>
    <xdr:ext cx="4162425" cy="127765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A0C4247-8E7E-E62B-C9A4-440919BC95FF}"/>
            </a:ext>
          </a:extLst>
        </xdr:cNvPr>
        <xdr:cNvSpPr txBox="1"/>
      </xdr:nvSpPr>
      <xdr:spPr>
        <a:xfrm>
          <a:off x="4820285" y="287020"/>
          <a:ext cx="4162425" cy="127765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組成依存性の</a:t>
          </a:r>
          <a:r>
            <a:rPr kumimoji="1" lang="en-US" altLang="ja-JP" sz="1100"/>
            <a:t>χ</a:t>
          </a:r>
          <a:r>
            <a:rPr kumimoji="1" lang="ja-JP" altLang="en-US" sz="1100"/>
            <a:t>パラメータ</a:t>
          </a:r>
          <a:r>
            <a:rPr kumimoji="1" lang="en-US" altLang="ja-JP" sz="1100"/>
            <a:t>g12</a:t>
          </a:r>
          <a:r>
            <a:rPr kumimoji="1" lang="ja-JP" altLang="en-US" sz="1100"/>
            <a:t>の算出</a:t>
          </a:r>
          <a:endParaRPr kumimoji="1" lang="en-US" altLang="ja-JP" sz="1100"/>
        </a:p>
        <a:p>
          <a:r>
            <a:rPr kumimoji="1" lang="en-US" altLang="ja-JP" sz="1100"/>
            <a:t>1bar</a:t>
          </a:r>
          <a:r>
            <a:rPr kumimoji="1" lang="ja-JP" altLang="en-US" sz="1100"/>
            <a:t>における 水</a:t>
          </a:r>
          <a:r>
            <a:rPr kumimoji="1" lang="en-US" altLang="ja-JP" sz="1100"/>
            <a:t>/NMP</a:t>
          </a:r>
          <a:r>
            <a:rPr kumimoji="1" lang="ja-JP" altLang="en-US" sz="1100"/>
            <a:t>の</a:t>
          </a:r>
          <a:r>
            <a:rPr kumimoji="1" lang="en-US" altLang="ja-JP" sz="1100"/>
            <a:t>G</a:t>
          </a:r>
          <a:r>
            <a:rPr kumimoji="1" lang="en-US" altLang="ja-JP" sz="1100" baseline="30000"/>
            <a:t>M</a:t>
          </a:r>
          <a:r>
            <a:rPr kumimoji="1" lang="ja-JP" altLang="en-US" sz="1100"/>
            <a:t>データ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データ元</a:t>
          </a:r>
          <a:r>
            <a:rPr kumimoji="1" lang="en-US" altLang="ja-JP" sz="1100"/>
            <a:t>)</a:t>
          </a:r>
        </a:p>
        <a:p>
          <a:r>
            <a:rPr kumimoji="1" lang="en-US" altLang="ja-JP" sz="1100"/>
            <a:t>Ryabtseva, N. V.; Rudin, V. Y.; Kalinichenko, V. P. Zh. Prikl. Khim., 1985, 58, 1041-2 </a:t>
          </a:r>
          <a:endParaRPr kumimoji="1" lang="ja-JP" altLang="en-US" sz="1100"/>
        </a:p>
      </xdr:txBody>
    </xdr:sp>
    <xdr:clientData/>
  </xdr:oneCellAnchor>
  <xdr:twoCellAnchor>
    <xdr:from>
      <xdr:col>5</xdr:col>
      <xdr:colOff>566420</xdr:colOff>
      <xdr:row>9</xdr:row>
      <xdr:rowOff>182880</xdr:rowOff>
    </xdr:from>
    <xdr:to>
      <xdr:col>10</xdr:col>
      <xdr:colOff>676910</xdr:colOff>
      <xdr:row>24</xdr:row>
      <xdr:rowOff>168910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51F4941-7413-D43A-3624-9ADC44293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8890</xdr:colOff>
      <xdr:row>0</xdr:row>
      <xdr:rowOff>180340</xdr:rowOff>
    </xdr:from>
    <xdr:to>
      <xdr:col>19</xdr:col>
      <xdr:colOff>571500</xdr:colOff>
      <xdr:row>15</xdr:row>
      <xdr:rowOff>167640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251764-4268-421B-A2B4-D1DB6EBFE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38100</xdr:colOff>
      <xdr:row>10</xdr:row>
      <xdr:rowOff>83820</xdr:rowOff>
    </xdr:from>
    <xdr:ext cx="3741420" cy="136255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7D0B12C-DD0F-C628-3735-595588C89CBE}"/>
            </a:ext>
          </a:extLst>
        </xdr:cNvPr>
        <xdr:cNvSpPr txBox="1"/>
      </xdr:nvSpPr>
      <xdr:spPr>
        <a:xfrm>
          <a:off x="6918960" y="1988820"/>
          <a:ext cx="3741420" cy="136255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フィッティング結果</a:t>
          </a:r>
          <a:endParaRPr kumimoji="1" lang="en-US" altLang="ja-JP" sz="1200"/>
        </a:p>
        <a:p>
          <a:r>
            <a:rPr kumimoji="1" lang="ja-JP" altLang="en-US" sz="1200"/>
            <a:t>・</a:t>
          </a:r>
          <a:r>
            <a:rPr kumimoji="1" lang="en-US" altLang="ja-JP" sz="1200"/>
            <a:t>4</a:t>
          </a:r>
          <a:r>
            <a:rPr kumimoji="1" lang="ja-JP" altLang="en-US" sz="1200"/>
            <a:t>次多項式では</a:t>
          </a:r>
          <a:r>
            <a:rPr kumimoji="1" lang="en-US" altLang="ja-JP" sz="1200"/>
            <a:t>φ2</a:t>
          </a:r>
          <a:r>
            <a:rPr kumimoji="1" lang="ja-JP" altLang="en-US" sz="1200"/>
            <a:t>が大きい部分で乖離が大きくなる</a:t>
          </a:r>
          <a:endParaRPr kumimoji="1" lang="en-US" altLang="ja-JP" sz="1200"/>
        </a:p>
        <a:p>
          <a:r>
            <a:rPr kumimoji="1" lang="ja-JP" altLang="en-US" sz="1200" baseline="0"/>
            <a:t>  → </a:t>
          </a:r>
          <a:r>
            <a:rPr kumimoji="1" lang="en-US" altLang="ja-JP" sz="1200" baseline="0"/>
            <a:t>φ2</a:t>
          </a:r>
          <a:r>
            <a:rPr kumimoji="1" lang="ja-JP" altLang="en-US" sz="1200" baseline="0"/>
            <a:t>が大きい部分でもう少しデータがあれば良いが</a:t>
          </a:r>
          <a:endParaRPr kumimoji="1" lang="en-US" altLang="ja-JP" sz="1200" baseline="0"/>
        </a:p>
        <a:p>
          <a:r>
            <a:rPr kumimoji="1" lang="ja-JP" altLang="en-US" sz="1200" baseline="0"/>
            <a:t>　　  分子量の違いから難しい</a:t>
          </a:r>
          <a:endParaRPr kumimoji="1" lang="en-US" altLang="ja-JP" sz="1200" baseline="0"/>
        </a:p>
        <a:p>
          <a:r>
            <a:rPr kumimoji="1" lang="ja-JP" altLang="en-US" sz="1200" baseline="0"/>
            <a:t>・</a:t>
          </a:r>
          <a:r>
            <a:rPr kumimoji="1" lang="en-US" altLang="ja-JP" sz="1200" baseline="0"/>
            <a:t>3</a:t>
          </a:r>
          <a:r>
            <a:rPr kumimoji="1" lang="ja-JP" altLang="en-US" sz="1200" baseline="0"/>
            <a:t>次多項式では全域で乖離が大きい</a:t>
          </a:r>
          <a:endParaRPr kumimoji="1" lang="ja-JP" altLang="en-US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115570</xdr:colOff>
      <xdr:row>0</xdr:row>
      <xdr:rowOff>81280</xdr:rowOff>
    </xdr:from>
    <xdr:to>
      <xdr:col>19</xdr:col>
      <xdr:colOff>678180</xdr:colOff>
      <xdr:row>15</xdr:row>
      <xdr:rowOff>68580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3A4EC73-103E-442F-9B50-09FD094E0F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38100</xdr:colOff>
      <xdr:row>10</xdr:row>
      <xdr:rowOff>83820</xdr:rowOff>
    </xdr:from>
    <xdr:ext cx="3741420" cy="4753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68FD7373-C908-4472-8630-1E89B7772DAD}"/>
                </a:ext>
              </a:extLst>
            </xdr:cNvPr>
            <xdr:cNvSpPr txBox="1"/>
          </xdr:nvSpPr>
          <xdr:spPr>
            <a:xfrm>
              <a:off x="6918960" y="1988820"/>
              <a:ext cx="3741420" cy="475387"/>
            </a:xfrm>
            <a:prstGeom prst="rect">
              <a:avLst/>
            </a:prstGeom>
            <a:solidFill>
              <a:schemeClr val="bg1"/>
            </a:solidFill>
            <a:ln w="19050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2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kumimoji="1" lang="en-US" altLang="ja-JP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kumimoji="1" lang="en-US" altLang="ja-JP" sz="12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200" b="0" i="1">
                            <a:latin typeface="Cambria Math" panose="02040503050406030204" pitchFamily="18" charset="0"/>
                          </a:rPr>
                          <m:t>𝛽</m:t>
                        </m:r>
                      </m:num>
                      <m:den>
                        <m:r>
                          <a:rPr kumimoji="1" lang="en-US" altLang="ja-JP" sz="12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kumimoji="1" lang="en-US" altLang="ja-JP" sz="1200" b="0" i="1">
                            <a:latin typeface="Cambria Math" panose="02040503050406030204" pitchFamily="18" charset="0"/>
                          </a:rPr>
                          <m:t>𝛾</m:t>
                        </m:r>
                        <m:sSub>
                          <m:sSubPr>
                            <m:ctrlPr>
                              <a:rPr kumimoji="1" lang="en-US" altLang="ja-JP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200" b="0" i="1">
                                <a:latin typeface="Cambria Math" panose="02040503050406030204" pitchFamily="18" charset="0"/>
                              </a:rPr>
                              <m:t>𝜙</m:t>
                            </m:r>
                          </m:e>
                          <m:sub>
                            <m:r>
                              <a:rPr kumimoji="1" lang="en-US" altLang="ja-JP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200"/>
            </a:p>
          </xdr:txBody>
        </xdr:sp>
      </mc:Choice>
      <mc:Fallback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68FD7373-C908-4472-8630-1E89B7772DAD}"/>
                </a:ext>
              </a:extLst>
            </xdr:cNvPr>
            <xdr:cNvSpPr txBox="1"/>
          </xdr:nvSpPr>
          <xdr:spPr>
            <a:xfrm>
              <a:off x="6918960" y="1988820"/>
              <a:ext cx="3741420" cy="475387"/>
            </a:xfrm>
            <a:prstGeom prst="rect">
              <a:avLst/>
            </a:prstGeom>
            <a:solidFill>
              <a:schemeClr val="bg1"/>
            </a:solidFill>
            <a:ln w="19050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="0" i="0">
                  <a:latin typeface="Cambria Math" panose="02040503050406030204" pitchFamily="18" charset="0"/>
                </a:rPr>
                <a:t>𝑔=𝛼+𝛽/(1−𝛾𝜙_2 )</a:t>
              </a:r>
              <a:endParaRPr kumimoji="1" lang="ja-JP" altLang="en-US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K">
      <a:majorFont>
        <a:latin typeface="Arial"/>
        <a:ea typeface="Meiryo UI"/>
        <a:cs typeface=""/>
      </a:majorFont>
      <a:minorFont>
        <a:latin typeface="Arial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8C47-629A-46C2-A5A6-036A94272DA3}">
  <dimension ref="A1:D26"/>
  <sheetViews>
    <sheetView workbookViewId="0">
      <selection activeCell="A12" sqref="A12"/>
    </sheetView>
  </sheetViews>
  <sheetFormatPr defaultRowHeight="15" x14ac:dyDescent="0.3"/>
  <sheetData>
    <row r="1" spans="1:4" ht="31.2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2">
        <v>0.9</v>
      </c>
      <c r="B2" s="2">
        <v>298.14440000000002</v>
      </c>
      <c r="C2" s="2">
        <v>-519000</v>
      </c>
      <c r="D2">
        <f>C2/1000</f>
        <v>-519</v>
      </c>
    </row>
    <row r="3" spans="1:4" x14ac:dyDescent="0.3">
      <c r="A3" s="2">
        <v>0.8</v>
      </c>
      <c r="B3" s="2">
        <v>298.14440000000002</v>
      </c>
      <c r="C3" s="2">
        <v>-992000</v>
      </c>
      <c r="D3">
        <f t="shared" ref="D3:D11" si="0">C3/1000</f>
        <v>-992</v>
      </c>
    </row>
    <row r="4" spans="1:4" x14ac:dyDescent="0.3">
      <c r="A4" s="2">
        <v>0.7</v>
      </c>
      <c r="B4" s="2">
        <v>298.14440000000002</v>
      </c>
      <c r="C4" s="2">
        <v>-1485000</v>
      </c>
      <c r="D4">
        <f t="shared" si="0"/>
        <v>-1485</v>
      </c>
    </row>
    <row r="5" spans="1:4" x14ac:dyDescent="0.3">
      <c r="A5" s="2">
        <v>0.6</v>
      </c>
      <c r="B5" s="2">
        <v>298.14440000000002</v>
      </c>
      <c r="C5" s="2">
        <v>-1967000</v>
      </c>
      <c r="D5">
        <f t="shared" si="0"/>
        <v>-1967</v>
      </c>
    </row>
    <row r="6" spans="1:4" x14ac:dyDescent="0.3">
      <c r="A6" s="2">
        <v>0.5</v>
      </c>
      <c r="B6" s="2">
        <v>298.14440000000002</v>
      </c>
      <c r="C6" s="2">
        <v>-2380000</v>
      </c>
      <c r="D6">
        <f t="shared" si="0"/>
        <v>-2380</v>
      </c>
    </row>
    <row r="7" spans="1:4" x14ac:dyDescent="0.3">
      <c r="A7" s="2">
        <v>0.4</v>
      </c>
      <c r="B7" s="2">
        <v>298.14440000000002</v>
      </c>
      <c r="C7" s="2">
        <v>-2660000</v>
      </c>
      <c r="D7">
        <f t="shared" si="0"/>
        <v>-2660</v>
      </c>
    </row>
    <row r="8" spans="1:4" x14ac:dyDescent="0.3">
      <c r="A8" s="2">
        <v>0.33</v>
      </c>
      <c r="B8" s="2">
        <v>298.14440000000002</v>
      </c>
      <c r="C8" s="2">
        <v>-2600000</v>
      </c>
      <c r="D8">
        <f t="shared" si="0"/>
        <v>-2600</v>
      </c>
    </row>
    <row r="9" spans="1:4" x14ac:dyDescent="0.3">
      <c r="A9" s="2">
        <v>0.3</v>
      </c>
      <c r="B9" s="2">
        <v>298.14440000000002</v>
      </c>
      <c r="C9" s="2">
        <v>-2739000</v>
      </c>
      <c r="D9">
        <f t="shared" si="0"/>
        <v>-2739</v>
      </c>
    </row>
    <row r="10" spans="1:4" x14ac:dyDescent="0.3">
      <c r="A10" s="2">
        <v>0.2</v>
      </c>
      <c r="B10" s="2">
        <v>298.14440000000002</v>
      </c>
      <c r="C10" s="2">
        <v>-2505000</v>
      </c>
      <c r="D10">
        <f t="shared" si="0"/>
        <v>-2505</v>
      </c>
    </row>
    <row r="11" spans="1:4" x14ac:dyDescent="0.3">
      <c r="A11" s="2">
        <v>0.1</v>
      </c>
      <c r="B11" s="2">
        <v>298.14440000000002</v>
      </c>
      <c r="C11" s="2">
        <v>-1738000</v>
      </c>
      <c r="D11">
        <f t="shared" si="0"/>
        <v>-1738</v>
      </c>
    </row>
    <row r="18" spans="1:4" x14ac:dyDescent="0.3">
      <c r="A18" s="2">
        <v>0.9</v>
      </c>
      <c r="B18" s="2">
        <v>307.99160000000001</v>
      </c>
      <c r="C18" s="2">
        <v>-462000</v>
      </c>
      <c r="D18">
        <f t="shared" ref="D18:D26" si="1">C18/1000</f>
        <v>-462</v>
      </c>
    </row>
    <row r="19" spans="1:4" x14ac:dyDescent="0.3">
      <c r="A19" s="2">
        <v>0.8</v>
      </c>
      <c r="B19" s="2">
        <v>307.99160000000001</v>
      </c>
      <c r="C19" s="2">
        <v>-952000</v>
      </c>
      <c r="D19">
        <f t="shared" si="1"/>
        <v>-952</v>
      </c>
    </row>
    <row r="20" spans="1:4" x14ac:dyDescent="0.3">
      <c r="A20" s="2">
        <v>0.7</v>
      </c>
      <c r="B20" s="2">
        <v>307.99160000000001</v>
      </c>
      <c r="C20" s="2">
        <v>-1423000</v>
      </c>
      <c r="D20">
        <f t="shared" si="1"/>
        <v>-1423</v>
      </c>
    </row>
    <row r="21" spans="1:4" x14ac:dyDescent="0.3">
      <c r="A21" s="2">
        <v>0.6</v>
      </c>
      <c r="B21" s="2">
        <v>307.99160000000001</v>
      </c>
      <c r="C21" s="2">
        <v>-1860000</v>
      </c>
      <c r="D21">
        <f t="shared" si="1"/>
        <v>-1860</v>
      </c>
    </row>
    <row r="22" spans="1:4" x14ac:dyDescent="0.3">
      <c r="A22" s="2">
        <v>0.5</v>
      </c>
      <c r="B22" s="2">
        <v>307.99160000000001</v>
      </c>
      <c r="C22" s="2">
        <v>-2243000</v>
      </c>
      <c r="D22">
        <f t="shared" si="1"/>
        <v>-2243</v>
      </c>
    </row>
    <row r="23" spans="1:4" x14ac:dyDescent="0.3">
      <c r="A23" s="2">
        <v>0.4</v>
      </c>
      <c r="B23" s="2">
        <v>307.99160000000001</v>
      </c>
      <c r="C23" s="2">
        <v>-2521000</v>
      </c>
      <c r="D23">
        <f t="shared" si="1"/>
        <v>-2521</v>
      </c>
    </row>
    <row r="24" spans="1:4" x14ac:dyDescent="0.3">
      <c r="A24" s="2">
        <v>0.3</v>
      </c>
      <c r="B24" s="2">
        <v>307.99160000000001</v>
      </c>
      <c r="C24" s="2">
        <v>-2601000</v>
      </c>
      <c r="D24">
        <f t="shared" si="1"/>
        <v>-2601</v>
      </c>
    </row>
    <row r="25" spans="1:4" x14ac:dyDescent="0.3">
      <c r="A25" s="2">
        <v>0.2</v>
      </c>
      <c r="B25" s="2">
        <v>307.99160000000001</v>
      </c>
      <c r="C25" s="2">
        <v>-2335000</v>
      </c>
      <c r="D25">
        <f t="shared" si="1"/>
        <v>-2335</v>
      </c>
    </row>
    <row r="26" spans="1:4" x14ac:dyDescent="0.3">
      <c r="A26" s="2">
        <v>0.1</v>
      </c>
      <c r="B26" s="2">
        <v>307.99160000000001</v>
      </c>
      <c r="C26" s="2">
        <v>-1539000</v>
      </c>
      <c r="D26">
        <f t="shared" si="1"/>
        <v>-1539</v>
      </c>
    </row>
  </sheetData>
  <autoFilter ref="A1:D1" xr:uid="{14248C47-629A-46C2-A5A6-036A94272DA3}"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98BE-2C48-4255-B3E2-B21C1081E345}">
  <dimension ref="A1:W67"/>
  <sheetViews>
    <sheetView showGridLines="0" topLeftCell="A29" workbookViewId="0">
      <selection activeCell="A47" sqref="A47:A67"/>
    </sheetView>
  </sheetViews>
  <sheetFormatPr defaultRowHeight="15" x14ac:dyDescent="0.3"/>
  <cols>
    <col min="1" max="2" width="9.7265625" bestFit="1" customWidth="1"/>
    <col min="3" max="3" width="9.26953125" bestFit="1" customWidth="1"/>
    <col min="8" max="8" width="9.7265625" bestFit="1" customWidth="1"/>
    <col min="10" max="10" width="14.7265625" customWidth="1"/>
    <col min="12" max="12" width="13.6328125" bestFit="1" customWidth="1"/>
    <col min="15" max="15" width="11.90625" customWidth="1"/>
    <col min="16" max="16" width="9.08984375" bestFit="1" customWidth="1"/>
  </cols>
  <sheetData>
    <row r="1" spans="1:13" x14ac:dyDescent="0.3">
      <c r="A1" t="s">
        <v>7</v>
      </c>
      <c r="B1" t="str">
        <f>過剰混合ギブズエネルギー!A1</f>
        <v>x2 [-]</v>
      </c>
      <c r="C1" t="s">
        <v>6</v>
      </c>
      <c r="D1" t="s">
        <v>5</v>
      </c>
      <c r="E1" t="s">
        <v>25</v>
      </c>
      <c r="F1" t="str">
        <f>過剰混合ギブズエネルギー!B1</f>
        <v>温度 [K]</v>
      </c>
      <c r="G1" t="str">
        <f>過剰混合ギブズエネルギー!D1</f>
        <v>GM [J/mol]</v>
      </c>
      <c r="H1" t="s">
        <v>29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3">
      <c r="A2">
        <f t="shared" ref="A2:A20" si="0">1 - B2</f>
        <v>9.9999999999999978E-2</v>
      </c>
      <c r="B2">
        <f>過剰混合ギブズエネルギー!A2</f>
        <v>0.9</v>
      </c>
      <c r="C2" s="3">
        <f t="shared" ref="C2:C20" si="1">A2/(A2+1/$L$9*B2)</f>
        <v>2.0357742859966395E-2</v>
      </c>
      <c r="D2" s="3">
        <f t="shared" ref="D2:D20" si="2">B2/($L$9*A2+B2)</f>
        <v>0.97964225714003361</v>
      </c>
      <c r="E2" s="3">
        <f>SUM(C2:D2)</f>
        <v>1</v>
      </c>
      <c r="F2">
        <f>過剰混合ギブズエネルギー!B2</f>
        <v>298.14440000000002</v>
      </c>
      <c r="G2">
        <f>過剰混合ギブズエネルギー!D2</f>
        <v>-519</v>
      </c>
      <c r="H2" s="3">
        <f>1/(A2*D2)*(A2*LN(A2/C2)+B2*LN(B2/D2)+G2/$L$2/F2)</f>
        <v>-1.2913766714255368</v>
      </c>
      <c r="J2" t="s">
        <v>26</v>
      </c>
      <c r="K2" t="s">
        <v>27</v>
      </c>
      <c r="L2">
        <v>8.3144626200000005</v>
      </c>
      <c r="M2" t="s">
        <v>28</v>
      </c>
    </row>
    <row r="3" spans="1:13" x14ac:dyDescent="0.3">
      <c r="A3">
        <f t="shared" si="0"/>
        <v>0.19999999999999996</v>
      </c>
      <c r="B3">
        <f>過剰混合ギブズエネルギー!A3</f>
        <v>0.8</v>
      </c>
      <c r="C3" s="3">
        <f t="shared" si="1"/>
        <v>4.4668240736279084E-2</v>
      </c>
      <c r="D3" s="3">
        <f t="shared" si="2"/>
        <v>0.95533175926372083</v>
      </c>
      <c r="E3" s="3">
        <f t="shared" ref="E3:E20" si="3">SUM(C3:D3)</f>
        <v>0.99999999999999989</v>
      </c>
      <c r="F3">
        <f>過剰混合ギブズエネルギー!B3</f>
        <v>298.14440000000002</v>
      </c>
      <c r="G3">
        <f>過剰混合ギブズエネルギー!D3</f>
        <v>-992</v>
      </c>
      <c r="H3" s="3">
        <f t="shared" ref="H3:H20" si="4">1/(A3*D3)*(A3*LN(A3/C3)+B3*LN(B3/D3)+G3/$L$2/F3)</f>
        <v>-1.2682632921583279</v>
      </c>
      <c r="J3" t="s">
        <v>13</v>
      </c>
      <c r="K3" t="s">
        <v>17</v>
      </c>
      <c r="L3">
        <v>1000</v>
      </c>
      <c r="M3" t="s">
        <v>14</v>
      </c>
    </row>
    <row r="4" spans="1:13" x14ac:dyDescent="0.3">
      <c r="A4">
        <f t="shared" si="0"/>
        <v>0.30000000000000004</v>
      </c>
      <c r="B4">
        <f>過剰混合ギブズエネルギー!A4</f>
        <v>0.7</v>
      </c>
      <c r="C4" s="3">
        <f t="shared" si="1"/>
        <v>7.4206502741718167E-2</v>
      </c>
      <c r="D4" s="3">
        <f t="shared" si="2"/>
        <v>0.92579349725828175</v>
      </c>
      <c r="E4" s="3">
        <f t="shared" si="3"/>
        <v>0.99999999999999989</v>
      </c>
      <c r="F4">
        <f>過剰混合ギブズエネルギー!B4</f>
        <v>298.14440000000002</v>
      </c>
      <c r="G4">
        <f>過剰混合ギブズエネルギー!D4</f>
        <v>-1485</v>
      </c>
      <c r="H4" s="3">
        <f t="shared" si="4"/>
        <v>-1.3526195120999391</v>
      </c>
      <c r="J4" t="s">
        <v>15</v>
      </c>
      <c r="K4" t="s">
        <v>16</v>
      </c>
      <c r="L4">
        <v>1030</v>
      </c>
      <c r="M4" t="s">
        <v>14</v>
      </c>
    </row>
    <row r="5" spans="1:13" x14ac:dyDescent="0.3">
      <c r="A5">
        <f t="shared" si="0"/>
        <v>0.4</v>
      </c>
      <c r="B5">
        <f>過剰混合ギブズエネルギー!A5</f>
        <v>0.6</v>
      </c>
      <c r="C5" s="3">
        <f t="shared" si="1"/>
        <v>0.1108619607139654</v>
      </c>
      <c r="D5" s="3">
        <f t="shared" si="2"/>
        <v>0.88913803928603463</v>
      </c>
      <c r="E5" s="3">
        <f t="shared" si="3"/>
        <v>1</v>
      </c>
      <c r="F5">
        <f>過剰混合ギブズエネルギー!B5</f>
        <v>298.14440000000002</v>
      </c>
      <c r="G5">
        <f>過剰混合ギブズエネルギー!D5</f>
        <v>-1967</v>
      </c>
      <c r="H5" s="3">
        <f t="shared" si="4"/>
        <v>-1.4514506205618123</v>
      </c>
      <c r="J5" t="s">
        <v>18</v>
      </c>
      <c r="K5" t="s">
        <v>20</v>
      </c>
      <c r="L5">
        <v>18</v>
      </c>
      <c r="M5" t="s">
        <v>22</v>
      </c>
    </row>
    <row r="6" spans="1:13" x14ac:dyDescent="0.3">
      <c r="A6">
        <f t="shared" si="0"/>
        <v>0.5</v>
      </c>
      <c r="B6">
        <f>過剰混合ギブズエネルギー!A6</f>
        <v>0.5</v>
      </c>
      <c r="C6" s="3">
        <f t="shared" si="1"/>
        <v>0.15755927594119148</v>
      </c>
      <c r="D6" s="3">
        <f t="shared" si="2"/>
        <v>0.84244072405880854</v>
      </c>
      <c r="E6" s="3">
        <f t="shared" si="3"/>
        <v>1</v>
      </c>
      <c r="F6">
        <f>過剰混合ギブズエネルギー!B6</f>
        <v>298.14440000000002</v>
      </c>
      <c r="G6">
        <f>過剰混合ギブズエネルギー!D6</f>
        <v>-2380</v>
      </c>
      <c r="H6" s="3">
        <f t="shared" si="4"/>
        <v>-1.5278075302222651</v>
      </c>
      <c r="J6" t="s">
        <v>19</v>
      </c>
      <c r="K6" t="s">
        <v>21</v>
      </c>
      <c r="L6">
        <v>99.13</v>
      </c>
      <c r="M6" t="s">
        <v>22</v>
      </c>
    </row>
    <row r="7" spans="1:13" x14ac:dyDescent="0.3">
      <c r="A7">
        <f t="shared" si="0"/>
        <v>0.6</v>
      </c>
      <c r="B7">
        <f>過剰混合ギブズエネルギー!A7</f>
        <v>0.4</v>
      </c>
      <c r="C7" s="3">
        <f t="shared" si="1"/>
        <v>0.21907988025838979</v>
      </c>
      <c r="D7" s="3">
        <f t="shared" si="2"/>
        <v>0.78092011974161024</v>
      </c>
      <c r="E7" s="3">
        <f t="shared" si="3"/>
        <v>1</v>
      </c>
      <c r="F7">
        <f>過剰混合ギブズエネルギー!B7</f>
        <v>298.14440000000002</v>
      </c>
      <c r="G7">
        <f>過剰混合ギブズエネルギー!D7</f>
        <v>-2660</v>
      </c>
      <c r="H7" s="3">
        <f t="shared" si="4"/>
        <v>-1.5711368963773451</v>
      </c>
      <c r="J7" t="s">
        <v>8</v>
      </c>
      <c r="K7" t="s">
        <v>9</v>
      </c>
      <c r="L7" s="3">
        <v>1.8E-5</v>
      </c>
      <c r="M7" t="s">
        <v>10</v>
      </c>
    </row>
    <row r="8" spans="1:13" x14ac:dyDescent="0.3">
      <c r="A8">
        <f t="shared" si="0"/>
        <v>0.66999999999999993</v>
      </c>
      <c r="B8">
        <f>過剰混合ギブズエネルギー!A8</f>
        <v>0.33</v>
      </c>
      <c r="C8" s="3">
        <f t="shared" si="1"/>
        <v>0.27521618621592697</v>
      </c>
      <c r="D8" s="3">
        <f t="shared" si="2"/>
        <v>0.72478381378407308</v>
      </c>
      <c r="E8" s="3">
        <f t="shared" si="3"/>
        <v>1</v>
      </c>
      <c r="F8">
        <f>過剰混合ギブズエネルギー!B8</f>
        <v>298.14440000000002</v>
      </c>
      <c r="G8">
        <f>過剰混合ギブズエネルギー!D8</f>
        <v>-2600</v>
      </c>
      <c r="H8" s="3">
        <f t="shared" si="4"/>
        <v>-1.466979086078777</v>
      </c>
      <c r="J8" t="s">
        <v>11</v>
      </c>
      <c r="K8" t="s">
        <v>12</v>
      </c>
      <c r="L8" s="3">
        <f>L6*0.001/L4</f>
        <v>9.6242718446601938E-5</v>
      </c>
      <c r="M8" t="s">
        <v>10</v>
      </c>
    </row>
    <row r="9" spans="1:13" x14ac:dyDescent="0.3">
      <c r="A9">
        <f t="shared" si="0"/>
        <v>0.7</v>
      </c>
      <c r="B9">
        <f>過剰混合ギブズエネルギー!A9</f>
        <v>0.3</v>
      </c>
      <c r="C9" s="3">
        <f t="shared" si="1"/>
        <v>0.30381347004705389</v>
      </c>
      <c r="D9" s="3">
        <f t="shared" si="2"/>
        <v>0.69618652995294616</v>
      </c>
      <c r="E9" s="3">
        <f t="shared" si="3"/>
        <v>1</v>
      </c>
      <c r="F9">
        <f>過剰混合ギブズエネルギー!B9</f>
        <v>298.14440000000002</v>
      </c>
      <c r="G9">
        <f>過剰混合ギブズエネルギー!D9</f>
        <v>-2739</v>
      </c>
      <c r="H9" s="3">
        <f t="shared" si="4"/>
        <v>-1.5866128909409316</v>
      </c>
      <c r="K9" t="s">
        <v>23</v>
      </c>
      <c r="L9" s="3">
        <f>L7/L8</f>
        <v>0.18702713608393021</v>
      </c>
      <c r="M9" t="s">
        <v>24</v>
      </c>
    </row>
    <row r="10" spans="1:13" x14ac:dyDescent="0.3">
      <c r="A10">
        <f t="shared" si="0"/>
        <v>0.8</v>
      </c>
      <c r="B10">
        <f>過剰混合ギブズエネルギー!A10</f>
        <v>0.2</v>
      </c>
      <c r="C10" s="3">
        <f t="shared" si="1"/>
        <v>0.42795314213168678</v>
      </c>
      <c r="D10" s="3">
        <f t="shared" si="2"/>
        <v>0.57204685786831322</v>
      </c>
      <c r="E10" s="3">
        <f t="shared" si="3"/>
        <v>1</v>
      </c>
      <c r="F10">
        <f>過剰混合ギブズエネルギー!B10</f>
        <v>298.14440000000002</v>
      </c>
      <c r="G10">
        <f>過剰混合ギブズエネルギー!D10</f>
        <v>-2505</v>
      </c>
      <c r="H10" s="3">
        <f t="shared" si="4"/>
        <v>-1.5737934726088458</v>
      </c>
    </row>
    <row r="11" spans="1:13" x14ac:dyDescent="0.3">
      <c r="A11">
        <f t="shared" si="0"/>
        <v>0.9</v>
      </c>
      <c r="B11">
        <f>過剰混合ギブズエネルギー!A11</f>
        <v>0.1</v>
      </c>
      <c r="C11" s="3">
        <f t="shared" si="1"/>
        <v>0.62731681642167003</v>
      </c>
      <c r="D11" s="3">
        <f t="shared" si="2"/>
        <v>0.37268318357832997</v>
      </c>
      <c r="E11" s="3">
        <f t="shared" si="3"/>
        <v>1</v>
      </c>
      <c r="F11">
        <f>過剰混合ギブズエネルギー!B11</f>
        <v>298.14440000000002</v>
      </c>
      <c r="G11">
        <f>過剰混合ギブズエネルギー!D11</f>
        <v>-1738</v>
      </c>
      <c r="H11" s="3">
        <f t="shared" si="4"/>
        <v>-1.5140103131496225</v>
      </c>
    </row>
    <row r="12" spans="1:13" x14ac:dyDescent="0.3">
      <c r="A12">
        <f t="shared" si="0"/>
        <v>9.9999999999999978E-2</v>
      </c>
      <c r="B12">
        <f>過剰混合ギブズエネルギー!A18</f>
        <v>0.9</v>
      </c>
      <c r="C12" s="3">
        <f t="shared" si="1"/>
        <v>2.0357742859966395E-2</v>
      </c>
      <c r="D12" s="3">
        <f t="shared" si="2"/>
        <v>0.97964225714003361</v>
      </c>
      <c r="E12" s="3">
        <f t="shared" si="3"/>
        <v>1</v>
      </c>
      <c r="F12">
        <f>過剰混合ギブズエネルギー!B18</f>
        <v>307.99160000000001</v>
      </c>
      <c r="G12">
        <f>過剰混合ギブズエネルギー!D18</f>
        <v>-462</v>
      </c>
      <c r="H12" s="3">
        <f t="shared" si="4"/>
        <v>-0.99583285786358167</v>
      </c>
    </row>
    <row r="13" spans="1:13" x14ac:dyDescent="0.3">
      <c r="A13">
        <f t="shared" si="0"/>
        <v>0.19999999999999996</v>
      </c>
      <c r="B13">
        <f>過剰混合ギブズエネルギー!A19</f>
        <v>0.8</v>
      </c>
      <c r="C13" s="3">
        <f t="shared" si="1"/>
        <v>4.4668240736279084E-2</v>
      </c>
      <c r="D13" s="3">
        <f t="shared" si="2"/>
        <v>0.95533175926372083</v>
      </c>
      <c r="E13" s="3">
        <f t="shared" si="3"/>
        <v>0.99999999999999989</v>
      </c>
      <c r="F13">
        <f>過剰混合ギブズエネルギー!B19</f>
        <v>307.99160000000001</v>
      </c>
      <c r="G13">
        <f>過剰混合ギブズエネルギー!D19</f>
        <v>-952</v>
      </c>
      <c r="H13" s="3">
        <f t="shared" si="4"/>
        <v>-1.1195466118006885</v>
      </c>
    </row>
    <row r="14" spans="1:13" x14ac:dyDescent="0.3">
      <c r="A14">
        <f t="shared" si="0"/>
        <v>0.30000000000000004</v>
      </c>
      <c r="B14">
        <f>過剰混合ギブズエネルギー!A20</f>
        <v>0.7</v>
      </c>
      <c r="C14" s="3">
        <f t="shared" si="1"/>
        <v>7.4206502741718167E-2</v>
      </c>
      <c r="D14" s="3">
        <f t="shared" si="2"/>
        <v>0.92579349725828175</v>
      </c>
      <c r="E14" s="3">
        <f t="shared" si="3"/>
        <v>0.99999999999999989</v>
      </c>
      <c r="F14">
        <f>過剰混合ギブズエネルギー!B20</f>
        <v>307.99160000000001</v>
      </c>
      <c r="G14">
        <f>過剰混合ギブズエネルギー!D20</f>
        <v>-1423</v>
      </c>
      <c r="H14" s="3">
        <f t="shared" si="4"/>
        <v>-1.1964851691771323</v>
      </c>
    </row>
    <row r="15" spans="1:13" x14ac:dyDescent="0.3">
      <c r="A15">
        <f t="shared" si="0"/>
        <v>0.4</v>
      </c>
      <c r="B15">
        <f>過剰混合ギブズエネルギー!A21</f>
        <v>0.6</v>
      </c>
      <c r="C15" s="3">
        <f t="shared" si="1"/>
        <v>0.1108619607139654</v>
      </c>
      <c r="D15" s="3">
        <f t="shared" si="2"/>
        <v>0.88913803928603463</v>
      </c>
      <c r="E15" s="3">
        <f t="shared" si="3"/>
        <v>1</v>
      </c>
      <c r="F15">
        <f>過剰混合ギブズエネルギー!B21</f>
        <v>307.99160000000001</v>
      </c>
      <c r="G15">
        <f>過剰混合ギブズエネルギー!D21</f>
        <v>-1860</v>
      </c>
      <c r="H15" s="3">
        <f t="shared" si="4"/>
        <v>-1.262633231573862</v>
      </c>
    </row>
    <row r="16" spans="1:13" x14ac:dyDescent="0.3">
      <c r="A16">
        <f t="shared" si="0"/>
        <v>0.5</v>
      </c>
      <c r="B16">
        <f>過剰混合ギブズエネルギー!A22</f>
        <v>0.5</v>
      </c>
      <c r="C16" s="3">
        <f t="shared" si="1"/>
        <v>0.15755927594119148</v>
      </c>
      <c r="D16" s="3">
        <f t="shared" si="2"/>
        <v>0.84244072405880854</v>
      </c>
      <c r="E16" s="3">
        <f t="shared" si="3"/>
        <v>1</v>
      </c>
      <c r="F16">
        <f>過剰混合ギブズエネルギー!B22</f>
        <v>307.99160000000001</v>
      </c>
      <c r="G16">
        <f>過剰混合ギブズエネルギー!D22</f>
        <v>-2243</v>
      </c>
      <c r="H16" s="3">
        <f t="shared" si="4"/>
        <v>-1.3279221123422738</v>
      </c>
    </row>
    <row r="17" spans="1:23" x14ac:dyDescent="0.3">
      <c r="A17">
        <f t="shared" si="0"/>
        <v>0.6</v>
      </c>
      <c r="B17">
        <f>過剰混合ギブズエネルギー!A23</f>
        <v>0.4</v>
      </c>
      <c r="C17" s="3">
        <f t="shared" si="1"/>
        <v>0.21907988025838979</v>
      </c>
      <c r="D17" s="3">
        <f t="shared" si="2"/>
        <v>0.78092011974161024</v>
      </c>
      <c r="E17" s="3">
        <f t="shared" si="3"/>
        <v>1</v>
      </c>
      <c r="F17">
        <f>過剰混合ギブズエネルギー!B23</f>
        <v>307.99160000000001</v>
      </c>
      <c r="G17">
        <f>過剰混合ギブズエネルギー!D23</f>
        <v>-2521</v>
      </c>
      <c r="H17" s="3">
        <f t="shared" si="4"/>
        <v>-1.3820689432890265</v>
      </c>
    </row>
    <row r="18" spans="1:23" x14ac:dyDescent="0.3">
      <c r="A18">
        <f t="shared" si="0"/>
        <v>0.7</v>
      </c>
      <c r="B18">
        <f>過剰混合ギブズエネルギー!A24</f>
        <v>0.3</v>
      </c>
      <c r="C18" s="3">
        <f t="shared" si="1"/>
        <v>0.30381347004705389</v>
      </c>
      <c r="D18" s="3">
        <f t="shared" si="2"/>
        <v>0.69618652995294616</v>
      </c>
      <c r="E18" s="3">
        <f t="shared" si="3"/>
        <v>1</v>
      </c>
      <c r="F18">
        <f>過剰混合ギブズエネルギー!B24</f>
        <v>307.99160000000001</v>
      </c>
      <c r="G18">
        <f>過剰混合ギブズエネルギー!D24</f>
        <v>-2601</v>
      </c>
      <c r="H18" s="3">
        <f t="shared" si="4"/>
        <v>-1.4035408629153976</v>
      </c>
    </row>
    <row r="19" spans="1:23" x14ac:dyDescent="0.3">
      <c r="A19">
        <f t="shared" si="0"/>
        <v>0.8</v>
      </c>
      <c r="B19">
        <f>過剰混合ギブズエネルギー!A25</f>
        <v>0.2</v>
      </c>
      <c r="C19" s="3">
        <f t="shared" si="1"/>
        <v>0.42795314213168678</v>
      </c>
      <c r="D19" s="3">
        <f t="shared" si="2"/>
        <v>0.57204685786831322</v>
      </c>
      <c r="E19" s="3">
        <f t="shared" si="3"/>
        <v>1</v>
      </c>
      <c r="F19">
        <f>過剰混合ギブズエネルギー!B25</f>
        <v>307.99160000000001</v>
      </c>
      <c r="G19">
        <f>過剰混合ギブズエネルギー!D25</f>
        <v>-2335</v>
      </c>
      <c r="H19" s="3">
        <f t="shared" si="4"/>
        <v>-1.3581321650903104</v>
      </c>
    </row>
    <row r="20" spans="1:23" x14ac:dyDescent="0.3">
      <c r="A20">
        <f t="shared" si="0"/>
        <v>0.9</v>
      </c>
      <c r="B20">
        <f>過剰混合ギブズエネルギー!A26</f>
        <v>0.1</v>
      </c>
      <c r="C20" s="3">
        <f t="shared" si="1"/>
        <v>0.62731681642167003</v>
      </c>
      <c r="D20" s="3">
        <f t="shared" si="2"/>
        <v>0.37268318357832997</v>
      </c>
      <c r="E20" s="3">
        <f t="shared" si="3"/>
        <v>1</v>
      </c>
      <c r="F20">
        <f>過剰混合ギブズエネルギー!B26</f>
        <v>307.99160000000001</v>
      </c>
      <c r="G20">
        <f>過剰混合ギブズエネルギー!D26</f>
        <v>-1539</v>
      </c>
      <c r="H20" s="3">
        <f t="shared" si="4"/>
        <v>-1.2154940293363214</v>
      </c>
    </row>
    <row r="22" spans="1:23" ht="15.6" thickBot="1" x14ac:dyDescent="0.35"/>
    <row r="23" spans="1:23" x14ac:dyDescent="0.3">
      <c r="A23" s="4" t="s">
        <v>42</v>
      </c>
      <c r="B23" s="5"/>
      <c r="C23" s="5"/>
      <c r="D23" s="5"/>
      <c r="E23" s="5"/>
      <c r="F23" s="5" t="s">
        <v>36</v>
      </c>
      <c r="G23" s="5"/>
      <c r="H23" s="5"/>
      <c r="I23" s="6"/>
      <c r="K23" s="4" t="s">
        <v>35</v>
      </c>
      <c r="L23" s="5"/>
      <c r="M23" s="5"/>
      <c r="N23" s="5"/>
      <c r="O23" s="5"/>
      <c r="P23" s="5"/>
      <c r="Q23" s="5"/>
      <c r="R23" s="5"/>
      <c r="S23" s="5" t="s">
        <v>36</v>
      </c>
      <c r="T23" s="5"/>
      <c r="U23" s="5"/>
      <c r="V23" s="5"/>
      <c r="W23" s="6"/>
    </row>
    <row r="24" spans="1:23" x14ac:dyDescent="0.3">
      <c r="A24" s="7" t="s">
        <v>30</v>
      </c>
      <c r="B24" s="8" t="s">
        <v>31</v>
      </c>
      <c r="C24" s="8" t="s">
        <v>32</v>
      </c>
      <c r="D24" s="8" t="s">
        <v>33</v>
      </c>
      <c r="E24" s="8"/>
      <c r="F24" s="8" cm="1">
        <f t="array" ref="F24:I28">LINEST(A25:A34,B25:D34,TRUE,TRUE)</f>
        <v>-4.3642722783608772</v>
      </c>
      <c r="G24" s="8">
        <v>6.1741213889149211</v>
      </c>
      <c r="H24" s="8">
        <v>-2.6475425037222458</v>
      </c>
      <c r="I24" s="9">
        <v>-1.2086276879058564</v>
      </c>
      <c r="K24" s="7" t="s">
        <v>30</v>
      </c>
      <c r="L24" s="8" t="s">
        <v>31</v>
      </c>
      <c r="M24" s="8" t="s">
        <v>32</v>
      </c>
      <c r="N24" s="8" t="s">
        <v>33</v>
      </c>
      <c r="O24" s="8" t="s">
        <v>34</v>
      </c>
      <c r="P24" s="8" t="s">
        <v>37</v>
      </c>
      <c r="Q24" s="8" t="s">
        <v>38</v>
      </c>
      <c r="R24" s="8"/>
      <c r="S24" s="8" cm="1">
        <f t="array" ref="S24:W28">LINEST(K25:K34,L25:O34,TRUE,TRUE)</f>
        <v>13.116482628889418</v>
      </c>
      <c r="T24" s="8">
        <v>-20.489689453228561</v>
      </c>
      <c r="U24" s="8">
        <v>12.364810581901871</v>
      </c>
      <c r="V24" s="8">
        <v>-3.458817393391806</v>
      </c>
      <c r="W24" s="9">
        <v>-1.1841321859959233</v>
      </c>
    </row>
    <row r="25" spans="1:23" x14ac:dyDescent="0.3">
      <c r="A25" s="10">
        <f>H2</f>
        <v>-1.2913766714255368</v>
      </c>
      <c r="B25" s="11">
        <f>C2</f>
        <v>2.0357742859966395E-2</v>
      </c>
      <c r="C25" s="11">
        <f>B25^2</f>
        <v>4.1443769435251275E-4</v>
      </c>
      <c r="D25" s="11">
        <f>B25^3</f>
        <v>8.4370160131058014E-6</v>
      </c>
      <c r="E25" s="8"/>
      <c r="F25" s="8">
        <v>3.5113266874160498</v>
      </c>
      <c r="G25" s="8">
        <v>3.3712937153086391</v>
      </c>
      <c r="H25" s="8">
        <v>0.84865261769279299</v>
      </c>
      <c r="I25" s="9">
        <v>5.2070676072221454E-2</v>
      </c>
      <c r="K25" s="10">
        <f>H2</f>
        <v>-1.2913766714255368</v>
      </c>
      <c r="L25" s="11">
        <f>C2</f>
        <v>2.0357742859966395E-2</v>
      </c>
      <c r="M25" s="11">
        <f>L25^2</f>
        <v>4.1443769435251275E-4</v>
      </c>
      <c r="N25" s="11">
        <f>L25^3</f>
        <v>8.4370160131058014E-6</v>
      </c>
      <c r="O25" s="11">
        <f>L25^4</f>
        <v>1.7175860250022678E-7</v>
      </c>
      <c r="P25" s="11">
        <f>L25^5</f>
        <v>3.4966174636867979E-9</v>
      </c>
      <c r="Q25" s="11">
        <f>L25^6</f>
        <v>7.1183239205403715E-11</v>
      </c>
      <c r="R25" s="8"/>
      <c r="S25" s="8">
        <v>29.001903653066943</v>
      </c>
      <c r="T25" s="8">
        <v>35.853740712004615</v>
      </c>
      <c r="U25" s="8">
        <v>14.15878122597552</v>
      </c>
      <c r="V25" s="8">
        <v>2.0119773037749926</v>
      </c>
      <c r="W25" s="9">
        <v>7.784143801942861E-2</v>
      </c>
    </row>
    <row r="26" spans="1:23" x14ac:dyDescent="0.3">
      <c r="A26" s="10">
        <f t="shared" ref="A26:A43" si="5">H3</f>
        <v>-1.2682632921583279</v>
      </c>
      <c r="B26" s="11">
        <f t="shared" ref="B26:B43" si="6">C3</f>
        <v>4.4668240736279084E-2</v>
      </c>
      <c r="C26" s="11">
        <f t="shared" ref="C26:C43" si="7">B26^2</f>
        <v>1.9952517304741824E-3</v>
      </c>
      <c r="D26" s="11">
        <f t="shared" ref="D26:D43" si="8">B26^3</f>
        <v>8.9124384626298214E-5</v>
      </c>
      <c r="E26" s="8"/>
      <c r="F26" s="8">
        <v>0.8715349729204297</v>
      </c>
      <c r="G26" s="8">
        <v>5.1876845313598513E-2</v>
      </c>
      <c r="H26" s="8" t="e">
        <v>#N/A</v>
      </c>
      <c r="I26" s="9" t="e">
        <v>#N/A</v>
      </c>
      <c r="K26" s="10">
        <f>H3</f>
        <v>-1.2682632921583279</v>
      </c>
      <c r="L26" s="11">
        <f>C3</f>
        <v>4.4668240736279084E-2</v>
      </c>
      <c r="M26" s="11">
        <f t="shared" ref="M26:M43" si="9">L26^2</f>
        <v>1.9952517304741824E-3</v>
      </c>
      <c r="N26" s="11">
        <f t="shared" ref="N26:N43" si="10">L26^3</f>
        <v>8.9124384626298214E-5</v>
      </c>
      <c r="O26" s="11">
        <f t="shared" ref="O26:O43" si="11">L26^4</f>
        <v>3.9810294679602194E-6</v>
      </c>
      <c r="P26" s="11">
        <f t="shared" ref="P26:P43" si="12">L26^5</f>
        <v>1.7782558265306813E-7</v>
      </c>
      <c r="Q26" s="11">
        <f t="shared" ref="Q26:Q42" si="13">L26^6</f>
        <v>7.9431559350163408E-9</v>
      </c>
      <c r="R26" s="8"/>
      <c r="S26" s="8">
        <v>0.87658372668383377</v>
      </c>
      <c r="T26" s="8">
        <v>5.5700351919197789E-2</v>
      </c>
      <c r="U26" s="8" t="e">
        <v>#N/A</v>
      </c>
      <c r="V26" s="8" t="e">
        <v>#N/A</v>
      </c>
      <c r="W26" s="9" t="e">
        <v>#N/A</v>
      </c>
    </row>
    <row r="27" spans="1:23" x14ac:dyDescent="0.3">
      <c r="A27" s="10">
        <f t="shared" si="5"/>
        <v>-1.3526195120999391</v>
      </c>
      <c r="B27" s="11">
        <f t="shared" si="6"/>
        <v>7.4206502741718167E-2</v>
      </c>
      <c r="C27" s="11">
        <f t="shared" si="7"/>
        <v>5.5066050491566262E-3</v>
      </c>
      <c r="D27" s="11">
        <f t="shared" si="8"/>
        <v>4.0862590267780026E-4</v>
      </c>
      <c r="E27" s="8"/>
      <c r="F27" s="8">
        <v>13.568439484788449</v>
      </c>
      <c r="G27" s="8">
        <v>6</v>
      </c>
      <c r="H27" s="8" t="e">
        <v>#N/A</v>
      </c>
      <c r="I27" s="9" t="e">
        <v>#N/A</v>
      </c>
      <c r="K27" s="10">
        <f>H4</f>
        <v>-1.3526195120999391</v>
      </c>
      <c r="L27" s="11">
        <f>C4</f>
        <v>7.4206502741718167E-2</v>
      </c>
      <c r="M27" s="11">
        <f t="shared" si="9"/>
        <v>5.5066050491566262E-3</v>
      </c>
      <c r="N27" s="11">
        <f t="shared" si="10"/>
        <v>4.0862590267780026E-4</v>
      </c>
      <c r="O27" s="11">
        <f t="shared" si="11"/>
        <v>3.0322699167397249E-5</v>
      </c>
      <c r="P27" s="11">
        <f t="shared" si="12"/>
        <v>2.250141458901759E-6</v>
      </c>
      <c r="Q27" s="11">
        <f t="shared" si="13"/>
        <v>1.6697512833924711E-7</v>
      </c>
      <c r="R27" s="8"/>
      <c r="S27" s="8">
        <v>8.8783239755406171</v>
      </c>
      <c r="T27" s="8">
        <v>5</v>
      </c>
      <c r="U27" s="8" t="e">
        <v>#N/A</v>
      </c>
      <c r="V27" s="8" t="e">
        <v>#N/A</v>
      </c>
      <c r="W27" s="9" t="e">
        <v>#N/A</v>
      </c>
    </row>
    <row r="28" spans="1:23" x14ac:dyDescent="0.3">
      <c r="A28" s="10">
        <f t="shared" si="5"/>
        <v>-1.4514506205618123</v>
      </c>
      <c r="B28" s="11">
        <f t="shared" si="6"/>
        <v>0.1108619607139654</v>
      </c>
      <c r="C28" s="11">
        <f t="shared" si="7"/>
        <v>1.2290374333344806E-2</v>
      </c>
      <c r="D28" s="11">
        <f t="shared" si="8"/>
        <v>1.3625349965032006E-3</v>
      </c>
      <c r="E28" s="8"/>
      <c r="F28" s="8">
        <v>0.10954644120546586</v>
      </c>
      <c r="G28" s="8">
        <v>1.6147242478146168E-2</v>
      </c>
      <c r="H28" s="8" t="e">
        <v>#N/A</v>
      </c>
      <c r="I28" s="9" t="e">
        <v>#N/A</v>
      </c>
      <c r="K28" s="10">
        <f>H5</f>
        <v>-1.4514506205618123</v>
      </c>
      <c r="L28" s="11">
        <f>C5</f>
        <v>0.1108619607139654</v>
      </c>
      <c r="M28" s="11">
        <f t="shared" si="9"/>
        <v>1.2290374333344806E-2</v>
      </c>
      <c r="N28" s="11">
        <f t="shared" si="10"/>
        <v>1.3625349965032006E-3</v>
      </c>
      <c r="O28" s="11">
        <f t="shared" si="11"/>
        <v>1.5105330125374079E-4</v>
      </c>
      <c r="P28" s="11">
        <f t="shared" si="12"/>
        <v>1.6746065149306992E-5</v>
      </c>
      <c r="Q28" s="11">
        <f t="shared" si="13"/>
        <v>1.8565016166959768E-6</v>
      </c>
      <c r="R28" s="8"/>
      <c r="S28" s="8">
        <v>0.11018103766399963</v>
      </c>
      <c r="T28" s="8">
        <v>1.5512646019612405E-2</v>
      </c>
      <c r="U28" s="8" t="e">
        <v>#N/A</v>
      </c>
      <c r="V28" s="8" t="e">
        <v>#N/A</v>
      </c>
      <c r="W28" s="9" t="e">
        <v>#N/A</v>
      </c>
    </row>
    <row r="29" spans="1:23" x14ac:dyDescent="0.3">
      <c r="A29" s="10">
        <f t="shared" si="5"/>
        <v>-1.5278075302222651</v>
      </c>
      <c r="B29" s="11">
        <f t="shared" si="6"/>
        <v>0.15755927594119148</v>
      </c>
      <c r="C29" s="11">
        <f t="shared" si="7"/>
        <v>2.482492543511252E-2</v>
      </c>
      <c r="D29" s="11">
        <f t="shared" si="8"/>
        <v>3.9113972768503964E-3</v>
      </c>
      <c r="E29" s="8"/>
      <c r="F29" s="8"/>
      <c r="G29" s="8"/>
      <c r="H29" s="8"/>
      <c r="I29" s="9"/>
      <c r="K29" s="10">
        <f>H6</f>
        <v>-1.5278075302222651</v>
      </c>
      <c r="L29" s="11">
        <f>C6</f>
        <v>0.15755927594119148</v>
      </c>
      <c r="M29" s="11">
        <f t="shared" si="9"/>
        <v>2.482492543511252E-2</v>
      </c>
      <c r="N29" s="11">
        <f t="shared" si="10"/>
        <v>3.9113972768503964E-3</v>
      </c>
      <c r="O29" s="11">
        <f t="shared" si="11"/>
        <v>6.1627692285889653E-4</v>
      </c>
      <c r="P29" s="11">
        <f t="shared" si="12"/>
        <v>9.7100145744913251E-5</v>
      </c>
      <c r="Q29" s="11">
        <f t="shared" si="13"/>
        <v>1.5299028657352696E-5</v>
      </c>
      <c r="R29" s="8"/>
      <c r="S29" s="8"/>
      <c r="T29" s="8"/>
      <c r="U29" s="8"/>
      <c r="V29" s="8"/>
      <c r="W29" s="9"/>
    </row>
    <row r="30" spans="1:23" x14ac:dyDescent="0.3">
      <c r="A30" s="10">
        <f t="shared" si="5"/>
        <v>-1.5711368963773451</v>
      </c>
      <c r="B30" s="11">
        <f t="shared" si="6"/>
        <v>0.21907988025838979</v>
      </c>
      <c r="C30" s="11">
        <f t="shared" si="7"/>
        <v>4.7995993934030409E-2</v>
      </c>
      <c r="D30" s="11">
        <f t="shared" si="8"/>
        <v>1.0514956603949785E-2</v>
      </c>
      <c r="E30" s="8"/>
      <c r="F30" s="8" t="s">
        <v>43</v>
      </c>
      <c r="G30" s="8"/>
      <c r="H30" s="8"/>
      <c r="I30" s="9"/>
      <c r="K30" s="10">
        <f>H7</f>
        <v>-1.5711368963773451</v>
      </c>
      <c r="L30" s="11">
        <f>C7</f>
        <v>0.21907988025838979</v>
      </c>
      <c r="M30" s="11">
        <f t="shared" si="9"/>
        <v>4.7995993934030409E-2</v>
      </c>
      <c r="N30" s="11">
        <f t="shared" si="10"/>
        <v>1.0514956603949785E-2</v>
      </c>
      <c r="O30" s="11">
        <f t="shared" si="11"/>
        <v>2.3036154337154838E-3</v>
      </c>
      <c r="P30" s="11">
        <f t="shared" si="12"/>
        <v>5.0467579337976683E-4</v>
      </c>
      <c r="Q30" s="11">
        <f t="shared" si="13"/>
        <v>1.1056431238294719E-4</v>
      </c>
      <c r="R30" s="8"/>
      <c r="S30" s="8" t="s">
        <v>43</v>
      </c>
      <c r="T30" s="8"/>
      <c r="U30" s="8"/>
      <c r="V30" s="8"/>
      <c r="W30" s="9"/>
    </row>
    <row r="31" spans="1:23" x14ac:dyDescent="0.3">
      <c r="A31" s="10">
        <f t="shared" si="5"/>
        <v>-1.466979086078777</v>
      </c>
      <c r="B31" s="11">
        <f t="shared" si="6"/>
        <v>0.27521618621592697</v>
      </c>
      <c r="C31" s="11">
        <f t="shared" si="7"/>
        <v>7.5743949155239798E-2</v>
      </c>
      <c r="D31" s="11">
        <f t="shared" si="8"/>
        <v>2.0845960815438182E-2</v>
      </c>
      <c r="E31" s="8"/>
      <c r="F31" s="8" cm="1">
        <f t="array" ref="F31:I35">LINEST(A35:A43,B35:D43,TRUE,TRUE)</f>
        <v>-6.469356748005608</v>
      </c>
      <c r="G31" s="8">
        <v>9.3737577269006032</v>
      </c>
      <c r="H31" s="8">
        <v>-3.7616364232430364</v>
      </c>
      <c r="I31" s="9">
        <v>-0.94928818695449713</v>
      </c>
      <c r="K31" s="10">
        <f>H8</f>
        <v>-1.466979086078777</v>
      </c>
      <c r="L31" s="11">
        <f>C8</f>
        <v>0.27521618621592697</v>
      </c>
      <c r="M31" s="11">
        <f t="shared" si="9"/>
        <v>7.5743949155239798E-2</v>
      </c>
      <c r="N31" s="11">
        <f t="shared" si="10"/>
        <v>2.0845960815438182E-2</v>
      </c>
      <c r="O31" s="11">
        <f t="shared" si="11"/>
        <v>5.7371458336315517E-3</v>
      </c>
      <c r="P31" s="11">
        <f t="shared" si="12"/>
        <v>1.5789553960966708E-3</v>
      </c>
      <c r="Q31" s="11">
        <f t="shared" si="13"/>
        <v>4.3455408231878409E-4</v>
      </c>
      <c r="R31" s="8"/>
      <c r="S31" s="8" cm="1">
        <f t="array" ref="S31:W35">LINEST(K35:K43,L35:O43,TRUE,TRUE)</f>
        <v>15.478036150584751</v>
      </c>
      <c r="T31" s="8">
        <v>-25.465511962467453</v>
      </c>
      <c r="U31" s="8">
        <v>16.602266496202102</v>
      </c>
      <c r="V31" s="8">
        <v>-4.6812912293610029</v>
      </c>
      <c r="W31" s="9">
        <v>-0.92232385110682458</v>
      </c>
    </row>
    <row r="32" spans="1:23" x14ac:dyDescent="0.3">
      <c r="A32" s="10">
        <f t="shared" si="5"/>
        <v>-1.5866128909409316</v>
      </c>
      <c r="B32" s="11">
        <f t="shared" si="6"/>
        <v>0.30381347004705389</v>
      </c>
      <c r="C32" s="11">
        <f t="shared" si="7"/>
        <v>9.2302624582032117E-2</v>
      </c>
      <c r="D32" s="11">
        <f t="shared" si="8"/>
        <v>2.8042780668717675E-2</v>
      </c>
      <c r="E32" s="8"/>
      <c r="F32" s="8">
        <v>1.2246141586364072</v>
      </c>
      <c r="G32" s="8">
        <v>1.1801939722365875</v>
      </c>
      <c r="H32" s="8">
        <v>0.30079389003837265</v>
      </c>
      <c r="I32" s="9">
        <v>1.8365110871182529E-2</v>
      </c>
      <c r="K32" s="10">
        <f>H9</f>
        <v>-1.5866128909409316</v>
      </c>
      <c r="L32" s="11">
        <f>C9</f>
        <v>0.30381347004705389</v>
      </c>
      <c r="M32" s="11">
        <f t="shared" si="9"/>
        <v>9.2302624582032117E-2</v>
      </c>
      <c r="N32" s="11">
        <f t="shared" si="10"/>
        <v>2.8042780668717675E-2</v>
      </c>
      <c r="O32" s="11">
        <f t="shared" si="11"/>
        <v>8.5197745047315594E-3</v>
      </c>
      <c r="P32" s="11">
        <f t="shared" si="12"/>
        <v>2.5884222563009149E-3</v>
      </c>
      <c r="Q32" s="11">
        <f t="shared" si="13"/>
        <v>7.8639754763380569E-4</v>
      </c>
      <c r="R32" s="8"/>
      <c r="S32" s="8">
        <v>8.6215464379882008</v>
      </c>
      <c r="T32" s="8">
        <v>10.630144525553947</v>
      </c>
      <c r="U32" s="8">
        <v>4.1444132413319394</v>
      </c>
      <c r="V32" s="8">
        <v>0.57012795202493072</v>
      </c>
      <c r="W32" s="9">
        <v>2.1425763818472887E-2</v>
      </c>
    </row>
    <row r="33" spans="1:23" x14ac:dyDescent="0.3">
      <c r="A33" s="10">
        <f t="shared" si="5"/>
        <v>-1.5737934726088458</v>
      </c>
      <c r="B33" s="11">
        <f t="shared" si="6"/>
        <v>0.42795314213168678</v>
      </c>
      <c r="C33" s="11">
        <f t="shared" si="7"/>
        <v>0.18314389186038371</v>
      </c>
      <c r="D33" s="11">
        <f t="shared" si="8"/>
        <v>7.8377003983877064E-2</v>
      </c>
      <c r="E33" s="8"/>
      <c r="F33" s="8">
        <v>0.98869797091538358</v>
      </c>
      <c r="G33" s="8">
        <v>1.8079088265662749E-2</v>
      </c>
      <c r="H33" s="8" t="e">
        <v>#N/A</v>
      </c>
      <c r="I33" s="9" t="e">
        <v>#N/A</v>
      </c>
      <c r="K33" s="10">
        <f>H10</f>
        <v>-1.5737934726088458</v>
      </c>
      <c r="L33" s="11">
        <f>C10</f>
        <v>0.42795314213168678</v>
      </c>
      <c r="M33" s="11">
        <f t="shared" si="9"/>
        <v>0.18314389186038371</v>
      </c>
      <c r="N33" s="11">
        <f t="shared" si="10"/>
        <v>7.8377003983877064E-2</v>
      </c>
      <c r="O33" s="11">
        <f t="shared" si="11"/>
        <v>3.3541685125767925E-2</v>
      </c>
      <c r="P33" s="11">
        <f t="shared" si="12"/>
        <v>1.4354269541964046E-2</v>
      </c>
      <c r="Q33" s="11">
        <f t="shared" si="13"/>
        <v>6.142954753488682E-3</v>
      </c>
      <c r="R33" s="8"/>
      <c r="S33" s="8">
        <v>0.99374109554146939</v>
      </c>
      <c r="T33" s="8">
        <v>1.5041892562040341E-2</v>
      </c>
      <c r="U33" s="8" t="e">
        <v>#N/A</v>
      </c>
      <c r="V33" s="8" t="e">
        <v>#N/A</v>
      </c>
      <c r="W33" s="9" t="e">
        <v>#N/A</v>
      </c>
    </row>
    <row r="34" spans="1:23" x14ac:dyDescent="0.3">
      <c r="A34" s="10">
        <f t="shared" si="5"/>
        <v>-1.5140103131496225</v>
      </c>
      <c r="B34" s="11">
        <f t="shared" si="6"/>
        <v>0.62731681642167003</v>
      </c>
      <c r="C34" s="11">
        <f t="shared" si="7"/>
        <v>0.39352638816541924</v>
      </c>
      <c r="D34" s="11">
        <f t="shared" si="8"/>
        <v>0.24686572100184917</v>
      </c>
      <c r="E34" s="8"/>
      <c r="F34" s="8">
        <v>145.79947894210994</v>
      </c>
      <c r="G34" s="8">
        <v>5</v>
      </c>
      <c r="H34" s="8" t="e">
        <v>#N/A</v>
      </c>
      <c r="I34" s="9" t="e">
        <v>#N/A</v>
      </c>
      <c r="K34" s="10">
        <f>H11</f>
        <v>-1.5140103131496225</v>
      </c>
      <c r="L34" s="11">
        <f>C11</f>
        <v>0.62731681642167003</v>
      </c>
      <c r="M34" s="11">
        <f t="shared" si="9"/>
        <v>0.39352638816541924</v>
      </c>
      <c r="N34" s="11">
        <f t="shared" si="10"/>
        <v>0.24686572100184917</v>
      </c>
      <c r="O34" s="11">
        <f t="shared" si="11"/>
        <v>0.15486301818252021</v>
      </c>
      <c r="P34" s="11">
        <f t="shared" si="12"/>
        <v>9.7148175547709784E-2</v>
      </c>
      <c r="Q34" s="11">
        <f t="shared" si="13"/>
        <v>6.0942684205762827E-2</v>
      </c>
      <c r="R34" s="8"/>
      <c r="S34" s="8">
        <v>158.77237016887574</v>
      </c>
      <c r="T34" s="8">
        <v>4</v>
      </c>
      <c r="U34" s="8" t="e">
        <v>#N/A</v>
      </c>
      <c r="V34" s="8" t="e">
        <v>#N/A</v>
      </c>
      <c r="W34" s="9" t="e">
        <v>#N/A</v>
      </c>
    </row>
    <row r="35" spans="1:23" x14ac:dyDescent="0.3">
      <c r="A35" s="10">
        <f t="shared" si="5"/>
        <v>-0.99583285786358167</v>
      </c>
      <c r="B35" s="11">
        <f t="shared" si="6"/>
        <v>2.0357742859966395E-2</v>
      </c>
      <c r="C35" s="11">
        <f t="shared" si="7"/>
        <v>4.1443769435251275E-4</v>
      </c>
      <c r="D35" s="11">
        <f t="shared" si="8"/>
        <v>8.4370160131058014E-6</v>
      </c>
      <c r="E35" s="8"/>
      <c r="F35" s="8">
        <v>0.14296518045452924</v>
      </c>
      <c r="G35" s="8">
        <v>1.6342671625881227E-3</v>
      </c>
      <c r="H35" s="8" t="e">
        <v>#N/A</v>
      </c>
      <c r="I35" s="9" t="e">
        <v>#N/A</v>
      </c>
      <c r="K35" s="10">
        <f>H12</f>
        <v>-0.99583285786358167</v>
      </c>
      <c r="L35" s="11">
        <f>C12</f>
        <v>2.0357742859966395E-2</v>
      </c>
      <c r="M35" s="11">
        <f t="shared" si="9"/>
        <v>4.1443769435251275E-4</v>
      </c>
      <c r="N35" s="11">
        <f t="shared" si="10"/>
        <v>8.4370160131058014E-6</v>
      </c>
      <c r="O35" s="11">
        <f t="shared" si="11"/>
        <v>1.7175860250022678E-7</v>
      </c>
      <c r="P35" s="11">
        <f t="shared" si="12"/>
        <v>3.4966174636867979E-9</v>
      </c>
      <c r="Q35" s="11">
        <f t="shared" si="13"/>
        <v>7.1183239205403715E-11</v>
      </c>
      <c r="R35" s="8"/>
      <c r="S35" s="8">
        <v>0.14369441348972553</v>
      </c>
      <c r="T35" s="8">
        <v>9.05034127391858E-4</v>
      </c>
      <c r="U35" s="8" t="e">
        <v>#N/A</v>
      </c>
      <c r="V35" s="8" t="e">
        <v>#N/A</v>
      </c>
      <c r="W35" s="9" t="e">
        <v>#N/A</v>
      </c>
    </row>
    <row r="36" spans="1:23" x14ac:dyDescent="0.3">
      <c r="A36" s="10">
        <f t="shared" si="5"/>
        <v>-1.1195466118006885</v>
      </c>
      <c r="B36" s="11">
        <f t="shared" si="6"/>
        <v>4.4668240736279084E-2</v>
      </c>
      <c r="C36" s="11">
        <f t="shared" si="7"/>
        <v>1.9952517304741824E-3</v>
      </c>
      <c r="D36" s="11">
        <f t="shared" si="8"/>
        <v>8.9124384626298214E-5</v>
      </c>
      <c r="E36" s="8"/>
      <c r="F36" s="8"/>
      <c r="G36" s="8"/>
      <c r="H36" s="8"/>
      <c r="I36" s="9"/>
      <c r="K36" s="10">
        <f>H13</f>
        <v>-1.1195466118006885</v>
      </c>
      <c r="L36" s="11">
        <f>C13</f>
        <v>4.4668240736279084E-2</v>
      </c>
      <c r="M36" s="11">
        <f t="shared" si="9"/>
        <v>1.9952517304741824E-3</v>
      </c>
      <c r="N36" s="11">
        <f t="shared" si="10"/>
        <v>8.9124384626298214E-5</v>
      </c>
      <c r="O36" s="11">
        <f t="shared" si="11"/>
        <v>3.9810294679602194E-6</v>
      </c>
      <c r="P36" s="11">
        <f t="shared" si="12"/>
        <v>1.7782558265306813E-7</v>
      </c>
      <c r="Q36" s="11">
        <f t="shared" si="13"/>
        <v>7.9431559350163408E-9</v>
      </c>
      <c r="R36" s="8"/>
      <c r="S36" s="8"/>
      <c r="T36" s="8"/>
      <c r="U36" s="8"/>
      <c r="V36" s="8"/>
      <c r="W36" s="9"/>
    </row>
    <row r="37" spans="1:23" x14ac:dyDescent="0.3">
      <c r="A37" s="10">
        <f t="shared" si="5"/>
        <v>-1.1964851691771323</v>
      </c>
      <c r="B37" s="11">
        <f t="shared" si="6"/>
        <v>7.4206502741718167E-2</v>
      </c>
      <c r="C37" s="11">
        <f t="shared" si="7"/>
        <v>5.5066050491566262E-3</v>
      </c>
      <c r="D37" s="11">
        <f t="shared" si="8"/>
        <v>4.0862590267780026E-4</v>
      </c>
      <c r="E37" s="8"/>
      <c r="F37" s="8"/>
      <c r="G37" s="8"/>
      <c r="H37" s="8"/>
      <c r="I37" s="9"/>
      <c r="K37" s="10">
        <f>H14</f>
        <v>-1.1964851691771323</v>
      </c>
      <c r="L37" s="11">
        <f>C14</f>
        <v>7.4206502741718167E-2</v>
      </c>
      <c r="M37" s="11">
        <f t="shared" si="9"/>
        <v>5.5066050491566262E-3</v>
      </c>
      <c r="N37" s="11">
        <f t="shared" si="10"/>
        <v>4.0862590267780026E-4</v>
      </c>
      <c r="O37" s="11">
        <f t="shared" si="11"/>
        <v>3.0322699167397249E-5</v>
      </c>
      <c r="P37" s="11">
        <f t="shared" si="12"/>
        <v>2.250141458901759E-6</v>
      </c>
      <c r="Q37" s="11">
        <f t="shared" si="13"/>
        <v>1.6697512833924711E-7</v>
      </c>
      <c r="R37" s="8"/>
      <c r="S37" s="8"/>
      <c r="T37" s="8"/>
      <c r="U37" s="8"/>
      <c r="V37" s="8"/>
      <c r="W37" s="9"/>
    </row>
    <row r="38" spans="1:23" x14ac:dyDescent="0.3">
      <c r="A38" s="10">
        <f t="shared" si="5"/>
        <v>-1.262633231573862</v>
      </c>
      <c r="B38" s="11">
        <f t="shared" si="6"/>
        <v>0.1108619607139654</v>
      </c>
      <c r="C38" s="11">
        <f t="shared" si="7"/>
        <v>1.2290374333344806E-2</v>
      </c>
      <c r="D38" s="11">
        <f t="shared" si="8"/>
        <v>1.3625349965032006E-3</v>
      </c>
      <c r="E38" s="8"/>
      <c r="F38" s="8"/>
      <c r="G38" s="8"/>
      <c r="H38" s="8"/>
      <c r="I38" s="9"/>
      <c r="K38" s="10">
        <f>H15</f>
        <v>-1.262633231573862</v>
      </c>
      <c r="L38" s="11">
        <f>C15</f>
        <v>0.1108619607139654</v>
      </c>
      <c r="M38" s="11">
        <f t="shared" si="9"/>
        <v>1.2290374333344806E-2</v>
      </c>
      <c r="N38" s="11">
        <f t="shared" si="10"/>
        <v>1.3625349965032006E-3</v>
      </c>
      <c r="O38" s="11">
        <f t="shared" si="11"/>
        <v>1.5105330125374079E-4</v>
      </c>
      <c r="P38" s="11">
        <f t="shared" si="12"/>
        <v>1.6746065149306992E-5</v>
      </c>
      <c r="Q38" s="11">
        <f t="shared" si="13"/>
        <v>1.8565016166959768E-6</v>
      </c>
      <c r="R38" s="8"/>
      <c r="S38" s="8"/>
      <c r="T38" s="8"/>
      <c r="U38" s="8"/>
      <c r="V38" s="8"/>
      <c r="W38" s="9"/>
    </row>
    <row r="39" spans="1:23" x14ac:dyDescent="0.3">
      <c r="A39" s="10">
        <f t="shared" si="5"/>
        <v>-1.3279221123422738</v>
      </c>
      <c r="B39" s="11">
        <f t="shared" si="6"/>
        <v>0.15755927594119148</v>
      </c>
      <c r="C39" s="11">
        <f t="shared" si="7"/>
        <v>2.482492543511252E-2</v>
      </c>
      <c r="D39" s="11">
        <f t="shared" si="8"/>
        <v>3.9113972768503964E-3</v>
      </c>
      <c r="E39" s="8"/>
      <c r="F39" s="8"/>
      <c r="G39" s="8"/>
      <c r="H39" s="8"/>
      <c r="I39" s="9"/>
      <c r="K39" s="10">
        <f>H16</f>
        <v>-1.3279221123422738</v>
      </c>
      <c r="L39" s="11">
        <f>C16</f>
        <v>0.15755927594119148</v>
      </c>
      <c r="M39" s="11">
        <f t="shared" si="9"/>
        <v>2.482492543511252E-2</v>
      </c>
      <c r="N39" s="11">
        <f t="shared" si="10"/>
        <v>3.9113972768503964E-3</v>
      </c>
      <c r="O39" s="11">
        <f t="shared" si="11"/>
        <v>6.1627692285889653E-4</v>
      </c>
      <c r="P39" s="11">
        <f t="shared" si="12"/>
        <v>9.7100145744913251E-5</v>
      </c>
      <c r="Q39" s="11">
        <f t="shared" si="13"/>
        <v>1.5299028657352696E-5</v>
      </c>
      <c r="R39" s="8"/>
      <c r="S39" s="8"/>
      <c r="T39" s="8"/>
      <c r="U39" s="8"/>
      <c r="V39" s="8"/>
      <c r="W39" s="9"/>
    </row>
    <row r="40" spans="1:23" x14ac:dyDescent="0.3">
      <c r="A40" s="10">
        <f t="shared" si="5"/>
        <v>-1.3820689432890265</v>
      </c>
      <c r="B40" s="11">
        <f t="shared" si="6"/>
        <v>0.21907988025838979</v>
      </c>
      <c r="C40" s="11">
        <f t="shared" si="7"/>
        <v>4.7995993934030409E-2</v>
      </c>
      <c r="D40" s="11">
        <f t="shared" si="8"/>
        <v>1.0514956603949785E-2</v>
      </c>
      <c r="E40" s="8"/>
      <c r="F40" s="8"/>
      <c r="G40" s="8"/>
      <c r="H40" s="8"/>
      <c r="I40" s="9"/>
      <c r="K40" s="10">
        <f>H17</f>
        <v>-1.3820689432890265</v>
      </c>
      <c r="L40" s="11">
        <f>C17</f>
        <v>0.21907988025838979</v>
      </c>
      <c r="M40" s="11">
        <f t="shared" si="9"/>
        <v>4.7995993934030409E-2</v>
      </c>
      <c r="N40" s="11">
        <f t="shared" si="10"/>
        <v>1.0514956603949785E-2</v>
      </c>
      <c r="O40" s="11">
        <f t="shared" si="11"/>
        <v>2.3036154337154838E-3</v>
      </c>
      <c r="P40" s="11">
        <f t="shared" si="12"/>
        <v>5.0467579337976683E-4</v>
      </c>
      <c r="Q40" s="11">
        <f t="shared" si="13"/>
        <v>1.1056431238294719E-4</v>
      </c>
      <c r="R40" s="8"/>
      <c r="S40" s="8"/>
      <c r="T40" s="8"/>
      <c r="U40" s="8"/>
      <c r="V40" s="8"/>
      <c r="W40" s="9"/>
    </row>
    <row r="41" spans="1:23" x14ac:dyDescent="0.3">
      <c r="A41" s="10">
        <f t="shared" si="5"/>
        <v>-1.4035408629153976</v>
      </c>
      <c r="B41" s="11">
        <f t="shared" si="6"/>
        <v>0.30381347004705389</v>
      </c>
      <c r="C41" s="11">
        <f t="shared" si="7"/>
        <v>9.2302624582032117E-2</v>
      </c>
      <c r="D41" s="11">
        <f t="shared" si="8"/>
        <v>2.8042780668717675E-2</v>
      </c>
      <c r="E41" s="8"/>
      <c r="F41" s="8"/>
      <c r="G41" s="8"/>
      <c r="H41" s="8"/>
      <c r="I41" s="9"/>
      <c r="K41" s="10">
        <f>H18</f>
        <v>-1.4035408629153976</v>
      </c>
      <c r="L41" s="11">
        <f>C18</f>
        <v>0.30381347004705389</v>
      </c>
      <c r="M41" s="11">
        <f t="shared" si="9"/>
        <v>9.2302624582032117E-2</v>
      </c>
      <c r="N41" s="11">
        <f t="shared" si="10"/>
        <v>2.8042780668717675E-2</v>
      </c>
      <c r="O41" s="11">
        <f t="shared" si="11"/>
        <v>8.5197745047315594E-3</v>
      </c>
      <c r="P41" s="11">
        <f t="shared" si="12"/>
        <v>2.5884222563009149E-3</v>
      </c>
      <c r="Q41" s="11">
        <f t="shared" si="13"/>
        <v>7.8639754763380569E-4</v>
      </c>
      <c r="R41" s="8"/>
      <c r="S41" s="8"/>
      <c r="T41" s="8"/>
      <c r="U41" s="8"/>
      <c r="V41" s="8"/>
      <c r="W41" s="9"/>
    </row>
    <row r="42" spans="1:23" x14ac:dyDescent="0.3">
      <c r="A42" s="10">
        <f t="shared" si="5"/>
        <v>-1.3581321650903104</v>
      </c>
      <c r="B42" s="11">
        <f t="shared" si="6"/>
        <v>0.42795314213168678</v>
      </c>
      <c r="C42" s="11">
        <f t="shared" si="7"/>
        <v>0.18314389186038371</v>
      </c>
      <c r="D42" s="11">
        <f t="shared" si="8"/>
        <v>7.8377003983877064E-2</v>
      </c>
      <c r="E42" s="8"/>
      <c r="F42" s="8"/>
      <c r="G42" s="8"/>
      <c r="H42" s="8"/>
      <c r="I42" s="9"/>
      <c r="K42" s="10">
        <f>H19</f>
        <v>-1.3581321650903104</v>
      </c>
      <c r="L42" s="11">
        <f>C19</f>
        <v>0.42795314213168678</v>
      </c>
      <c r="M42" s="11">
        <f t="shared" si="9"/>
        <v>0.18314389186038371</v>
      </c>
      <c r="N42" s="11">
        <f t="shared" si="10"/>
        <v>7.8377003983877064E-2</v>
      </c>
      <c r="O42" s="11">
        <f t="shared" si="11"/>
        <v>3.3541685125767925E-2</v>
      </c>
      <c r="P42" s="11">
        <f t="shared" si="12"/>
        <v>1.4354269541964046E-2</v>
      </c>
      <c r="Q42" s="11">
        <f t="shared" si="13"/>
        <v>6.142954753488682E-3</v>
      </c>
      <c r="R42" s="8"/>
      <c r="S42" s="8"/>
      <c r="T42" s="8"/>
      <c r="U42" s="8"/>
      <c r="V42" s="8"/>
      <c r="W42" s="9"/>
    </row>
    <row r="43" spans="1:23" x14ac:dyDescent="0.3">
      <c r="A43" s="10">
        <f t="shared" si="5"/>
        <v>-1.2154940293363214</v>
      </c>
      <c r="B43" s="11">
        <f t="shared" si="6"/>
        <v>0.62731681642167003</v>
      </c>
      <c r="C43" s="11">
        <f t="shared" si="7"/>
        <v>0.39352638816541924</v>
      </c>
      <c r="D43" s="11">
        <f t="shared" si="8"/>
        <v>0.24686572100184917</v>
      </c>
      <c r="E43" s="8"/>
      <c r="F43" s="8"/>
      <c r="G43" s="8"/>
      <c r="H43" s="8"/>
      <c r="I43" s="9"/>
      <c r="K43" s="10">
        <f>H20</f>
        <v>-1.2154940293363214</v>
      </c>
      <c r="L43" s="11">
        <f>C20</f>
        <v>0.62731681642167003</v>
      </c>
      <c r="M43" s="11">
        <f t="shared" si="9"/>
        <v>0.39352638816541924</v>
      </c>
      <c r="N43" s="11">
        <f t="shared" si="10"/>
        <v>0.24686572100184917</v>
      </c>
      <c r="O43" s="11">
        <f t="shared" si="11"/>
        <v>0.15486301818252021</v>
      </c>
      <c r="P43" s="11">
        <f t="shared" si="12"/>
        <v>9.7148175547709784E-2</v>
      </c>
      <c r="Q43" s="11">
        <f>L43^6</f>
        <v>6.0942684205762827E-2</v>
      </c>
      <c r="R43" s="8"/>
      <c r="S43" s="8"/>
      <c r="T43" s="8"/>
      <c r="U43" s="8"/>
      <c r="V43" s="8"/>
      <c r="W43" s="9"/>
    </row>
    <row r="44" spans="1:23" x14ac:dyDescent="0.3">
      <c r="A44" s="10"/>
      <c r="B44" s="8"/>
      <c r="C44" s="8"/>
      <c r="D44" s="8"/>
      <c r="E44" s="8"/>
      <c r="F44" s="8"/>
      <c r="G44" s="8"/>
      <c r="H44" s="8"/>
      <c r="I44" s="9"/>
      <c r="K44" s="10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</row>
    <row r="45" spans="1:23" x14ac:dyDescent="0.3">
      <c r="A45" s="7" t="s">
        <v>44</v>
      </c>
      <c r="B45" s="8"/>
      <c r="C45" s="8"/>
      <c r="D45" s="8"/>
      <c r="E45" s="8"/>
      <c r="F45" s="8"/>
      <c r="G45" s="8"/>
      <c r="H45" s="8"/>
      <c r="I45" s="9"/>
      <c r="K45" s="10" t="s">
        <v>41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</row>
    <row r="46" spans="1:23" x14ac:dyDescent="0.3">
      <c r="A46" s="7" t="s">
        <v>4</v>
      </c>
      <c r="B46" s="8" t="s">
        <v>39</v>
      </c>
      <c r="C46" s="8" t="s">
        <v>40</v>
      </c>
      <c r="D46" s="8"/>
      <c r="E46" s="8"/>
      <c r="F46" s="8"/>
      <c r="G46" s="8"/>
      <c r="H46" s="8"/>
      <c r="I46" s="9"/>
      <c r="K46" s="10" t="s">
        <v>4</v>
      </c>
      <c r="L46" s="8" t="s">
        <v>39</v>
      </c>
      <c r="M46" s="8" t="s">
        <v>40</v>
      </c>
      <c r="N46" s="8"/>
      <c r="O46" s="8"/>
      <c r="P46" s="8"/>
      <c r="Q46" s="8"/>
      <c r="R46" s="8"/>
      <c r="S46" s="8"/>
      <c r="T46" s="8"/>
      <c r="U46" s="8"/>
      <c r="V46" s="8"/>
      <c r="W46" s="9"/>
    </row>
    <row r="47" spans="1:23" x14ac:dyDescent="0.3">
      <c r="A47" s="10">
        <v>0</v>
      </c>
      <c r="B47" s="11">
        <f>$I$24+$H$24*A47+$G$24*A47^2+$F$24*A47^4</f>
        <v>-1.2086276879058564</v>
      </c>
      <c r="C47" s="11">
        <f>$I$31+$H$31*A47+$G$31*A47^2+$F$31*A47^4</f>
        <v>-0.94928818695449713</v>
      </c>
      <c r="D47" s="8"/>
      <c r="E47" s="8"/>
      <c r="F47" s="8"/>
      <c r="G47" s="8"/>
      <c r="H47" s="8"/>
      <c r="I47" s="9"/>
      <c r="K47" s="10">
        <v>0</v>
      </c>
      <c r="L47" s="11">
        <f>$W$24+$V$24*K47+$U$24*K47^2+$T$24*K47^3+$S$24*K47^4</f>
        <v>-1.1841321859959233</v>
      </c>
      <c r="M47" s="11">
        <f>$W$31+$V$31*K47+$U$31*K47^2+$T$31*K47^3+$S$31*K47^4</f>
        <v>-0.92232385110682458</v>
      </c>
      <c r="N47" s="8"/>
      <c r="O47" s="8"/>
      <c r="P47" s="8"/>
      <c r="Q47" s="8"/>
      <c r="R47" s="8"/>
      <c r="S47" s="8"/>
      <c r="T47" s="8"/>
      <c r="U47" s="8"/>
      <c r="V47" s="8"/>
      <c r="W47" s="9"/>
    </row>
    <row r="48" spans="1:23" x14ac:dyDescent="0.3">
      <c r="A48" s="10">
        <v>0.05</v>
      </c>
      <c r="B48" s="11">
        <f t="shared" ref="B48:B67" si="14">$I$24+$H$24*A48+$G$24*A48^2+$F$24*A48^4</f>
        <v>-1.3255967863214211</v>
      </c>
      <c r="C48" s="11">
        <f t="shared" ref="C48:C67" si="15">$I$31+$H$31*A48+$G$31*A48^2+$F$31*A48^4</f>
        <v>-1.1139760472790725</v>
      </c>
      <c r="D48" s="8"/>
      <c r="E48" s="8"/>
      <c r="F48" s="8"/>
      <c r="G48" s="8"/>
      <c r="H48" s="8"/>
      <c r="I48" s="9"/>
      <c r="K48" s="10">
        <v>0.05</v>
      </c>
      <c r="L48" s="11">
        <f>$W$24+$V$24*K48+$U$24*K48^2+$T$24*K48^3+$S$24*K48^4</f>
        <v>-1.3286402623759821</v>
      </c>
      <c r="M48" s="11">
        <f>$W$31+$V$31*K48+$U$31*K48^2+$T$31*K48^3+$S$31*K48^4</f>
        <v>-1.1179691976037367</v>
      </c>
      <c r="N48" s="8"/>
      <c r="O48" s="8"/>
      <c r="P48" s="8"/>
      <c r="Q48" s="8"/>
      <c r="R48" s="8"/>
      <c r="S48" s="8"/>
      <c r="T48" s="8"/>
      <c r="U48" s="8"/>
      <c r="V48" s="8"/>
      <c r="W48" s="9"/>
    </row>
    <row r="49" spans="1:23" x14ac:dyDescent="0.3">
      <c r="A49" s="10">
        <v>0.1</v>
      </c>
      <c r="B49" s="11">
        <f t="shared" si="14"/>
        <v>-1.4120771516167678</v>
      </c>
      <c r="C49" s="11">
        <f t="shared" si="15"/>
        <v>-1.2323611876845952</v>
      </c>
      <c r="D49" s="8"/>
      <c r="E49" s="8"/>
      <c r="F49" s="8"/>
      <c r="G49" s="8"/>
      <c r="H49" s="8"/>
      <c r="I49" s="9"/>
      <c r="K49" s="10">
        <v>0.1</v>
      </c>
      <c r="L49" s="11">
        <f>$W$24+$V$24*K49+$U$24*K49^2+$T$24*K49^3+$S$24*K49^4</f>
        <v>-1.4255438607064248</v>
      </c>
      <c r="M49" s="11">
        <f>$W$31+$V$31*K49+$U$31*K49^2+$T$31*K49^3+$S$31*K49^4</f>
        <v>-1.2483480174283126</v>
      </c>
      <c r="N49" s="8"/>
      <c r="O49" s="8"/>
      <c r="P49" s="8"/>
      <c r="Q49" s="8"/>
      <c r="R49" s="8"/>
      <c r="S49" s="8"/>
      <c r="T49" s="8"/>
      <c r="U49" s="8"/>
      <c r="V49" s="8"/>
      <c r="W49" s="9"/>
    </row>
    <row r="50" spans="1:23" x14ac:dyDescent="0.3">
      <c r="A50" s="10">
        <v>0.15</v>
      </c>
      <c r="B50" s="11">
        <f t="shared" si="14"/>
        <v>-1.4690507450545276</v>
      </c>
      <c r="C50" s="11">
        <f t="shared" si="15"/>
        <v>-1.3058992134393668</v>
      </c>
      <c r="D50" s="8"/>
      <c r="E50" s="8"/>
      <c r="F50" s="8"/>
      <c r="G50" s="8"/>
      <c r="H50" s="8"/>
      <c r="I50" s="9"/>
      <c r="K50" s="10">
        <v>0.15</v>
      </c>
      <c r="L50" s="11">
        <f>$W$24+$V$24*K50+$U$24*K50^2+$T$24*K50^3+$S$24*K50^4</f>
        <v>-1.4872590394856733</v>
      </c>
      <c r="M50" s="11">
        <f>$W$31+$V$31*K50+$U$31*K50^2+$T$31*K50^3+$S$31*K50^4</f>
        <v>-1.3290768864185218</v>
      </c>
      <c r="N50" s="8"/>
      <c r="O50" s="8"/>
      <c r="P50" s="8"/>
      <c r="Q50" s="8"/>
      <c r="R50" s="8"/>
      <c r="S50" s="8"/>
      <c r="T50" s="8"/>
      <c r="U50" s="8"/>
      <c r="V50" s="8"/>
      <c r="W50" s="9"/>
    </row>
    <row r="51" spans="1:23" x14ac:dyDescent="0.3">
      <c r="A51" s="10">
        <v>0.2</v>
      </c>
      <c r="B51" s="11">
        <f t="shared" si="14"/>
        <v>-1.498154168739086</v>
      </c>
      <c r="C51" s="11">
        <f t="shared" si="15"/>
        <v>-1.3370161333238892</v>
      </c>
      <c r="D51" s="8"/>
      <c r="E51" s="8"/>
      <c r="F51" s="8"/>
      <c r="G51" s="8"/>
      <c r="H51" s="8"/>
      <c r="I51" s="9"/>
      <c r="K51" s="10">
        <v>0.2</v>
      </c>
      <c r="L51" s="11">
        <f>$W$24+$V$24*K51+$U$24*K51^2+$T$24*K51^3+$S$24*K51^4</f>
        <v>-1.524234384817815</v>
      </c>
      <c r="M51" s="11">
        <f>$W$31+$V$31*K51+$U$31*K51^2+$T$31*K51^3+$S$31*K51^4</f>
        <v>-1.373450674989745</v>
      </c>
      <c r="N51" s="8"/>
      <c r="O51" s="8"/>
      <c r="P51" s="8"/>
      <c r="Q51" s="8"/>
      <c r="R51" s="8"/>
      <c r="S51" s="8"/>
      <c r="T51" s="8"/>
      <c r="U51" s="8"/>
      <c r="V51" s="8"/>
      <c r="W51" s="9"/>
    </row>
    <row r="52" spans="1:23" x14ac:dyDescent="0.3">
      <c r="A52" s="10">
        <v>0.25</v>
      </c>
      <c r="B52" s="11">
        <f t="shared" si="14"/>
        <v>-1.5016786656165824</v>
      </c>
      <c r="C52" s="11">
        <f t="shared" si="15"/>
        <v>-1.3291083596308655</v>
      </c>
      <c r="D52" s="8"/>
      <c r="E52" s="8"/>
      <c r="F52" s="8"/>
      <c r="G52" s="8"/>
      <c r="H52" s="8"/>
      <c r="I52" s="9"/>
      <c r="K52" s="10">
        <v>0.25</v>
      </c>
      <c r="L52" s="11">
        <f>$W$24+$V$24*K52+$U$24*K52^2+$T$24*K52^3+$S$24*K52^4</f>
        <v>-1.5449510104126047</v>
      </c>
      <c r="M52" s="11">
        <f>$W$31+$V$31*K52+$U$31*K52^2+$T$31*K52^3+$S$31*K52^4</f>
        <v>-1.3924425481347764</v>
      </c>
      <c r="N52" s="8"/>
      <c r="O52" s="8"/>
      <c r="P52" s="8"/>
      <c r="Q52" s="8"/>
      <c r="R52" s="8"/>
      <c r="S52" s="8"/>
      <c r="T52" s="8"/>
      <c r="U52" s="8"/>
      <c r="V52" s="8"/>
      <c r="W52" s="9"/>
    </row>
    <row r="53" spans="1:23" x14ac:dyDescent="0.3">
      <c r="A53" s="10">
        <v>0.3</v>
      </c>
      <c r="B53" s="11">
        <f t="shared" si="14"/>
        <v>-1.4825701194749104</v>
      </c>
      <c r="C53" s="11">
        <f t="shared" si="15"/>
        <v>-1.286542708165199</v>
      </c>
      <c r="D53" s="8"/>
      <c r="E53" s="8"/>
      <c r="F53" s="8"/>
      <c r="G53" s="8"/>
      <c r="H53" s="8"/>
      <c r="I53" s="9"/>
      <c r="K53" s="10">
        <v>0.3</v>
      </c>
      <c r="L53" s="11">
        <f>$W$24+$V$24*K53+$U$24*K53^2+$T$24*K53^3+$S$24*K53^4</f>
        <v>-1.5559225575854634</v>
      </c>
      <c r="M53" s="11">
        <f>$W$31+$V$31*K53+$U$31*K53^2+$T$31*K53^3+$S$31*K53^4</f>
        <v>-1.3947039654238211</v>
      </c>
      <c r="N53" s="8"/>
      <c r="O53" s="8"/>
      <c r="P53" s="8"/>
      <c r="Q53" s="8"/>
      <c r="R53" s="8"/>
      <c r="S53" s="8"/>
      <c r="T53" s="8"/>
      <c r="U53" s="8"/>
      <c r="V53" s="8"/>
      <c r="W53" s="9"/>
    </row>
    <row r="54" spans="1:23" x14ac:dyDescent="0.3">
      <c r="A54" s="10">
        <v>0.35</v>
      </c>
      <c r="B54" s="11">
        <f t="shared" si="14"/>
        <v>-1.4444290549437173</v>
      </c>
      <c r="C54" s="11">
        <f t="shared" si="15"/>
        <v>-1.2146563982439951</v>
      </c>
      <c r="D54" s="8"/>
      <c r="E54" s="8"/>
      <c r="F54" s="8"/>
      <c r="G54" s="8"/>
      <c r="H54" s="8"/>
      <c r="I54" s="9"/>
      <c r="K54" s="10">
        <v>0.35</v>
      </c>
      <c r="L54" s="11">
        <f>$W$24+$V$24*K54+$U$24*K54^2+$T$24*K54^3+$S$24*K54^4</f>
        <v>-1.5616951952574785</v>
      </c>
      <c r="M54" s="11">
        <f>$W$31+$V$31*K54+$U$31*K54^2+$T$31*K54^3+$S$31*K54^4</f>
        <v>-1.3865646810044976</v>
      </c>
      <c r="N54" s="8"/>
      <c r="O54" s="8"/>
      <c r="P54" s="8"/>
      <c r="Q54" s="8"/>
      <c r="R54" s="8"/>
      <c r="S54" s="8"/>
      <c r="T54" s="8"/>
      <c r="U54" s="8"/>
      <c r="V54" s="8"/>
      <c r="W54" s="9"/>
    </row>
    <row r="55" spans="1:23" x14ac:dyDescent="0.3">
      <c r="A55" s="10">
        <v>0.4</v>
      </c>
      <c r="B55" s="11">
        <f t="shared" si="14"/>
        <v>-1.391510637494406</v>
      </c>
      <c r="C55" s="11">
        <f t="shared" si="15"/>
        <v>-1.1197570526965583</v>
      </c>
      <c r="D55" s="8"/>
      <c r="E55" s="8"/>
      <c r="F55" s="8"/>
      <c r="G55" s="8"/>
      <c r="H55" s="8"/>
      <c r="I55" s="9"/>
      <c r="K55" s="10">
        <v>0.4</v>
      </c>
      <c r="L55" s="11">
        <f>$W$24+$V$24*K55+$U$24*K55^2+$T$24*K55^3+$S$24*K55^4</f>
        <v>-1.5648476199554051</v>
      </c>
      <c r="M55" s="11">
        <f>$W$31+$V$31*K55+$U$31*K55^2+$T$31*K55^3+$S$31*K55^4</f>
        <v>-1.3720327436018365</v>
      </c>
      <c r="N55" s="8"/>
      <c r="O55" s="8"/>
      <c r="P55" s="8"/>
      <c r="Q55" s="8"/>
      <c r="R55" s="8"/>
      <c r="S55" s="8"/>
      <c r="T55" s="8"/>
      <c r="U55" s="8"/>
      <c r="V55" s="8"/>
      <c r="W55" s="9"/>
    </row>
    <row r="56" spans="1:23" x14ac:dyDescent="0.3">
      <c r="A56" s="10">
        <v>0.45</v>
      </c>
      <c r="B56" s="11">
        <f t="shared" si="14"/>
        <v>-1.328724673440131</v>
      </c>
      <c r="C56" s="11">
        <f t="shared" si="15"/>
        <v>-1.0091226978643961</v>
      </c>
      <c r="D56" s="8"/>
      <c r="E56" s="8"/>
      <c r="F56" s="8"/>
      <c r="G56" s="8"/>
      <c r="H56" s="8"/>
      <c r="I56" s="9"/>
      <c r="K56" s="10">
        <v>0.45</v>
      </c>
      <c r="L56" s="11">
        <f>$W$24+$V$24*K56+$U$24*K56^2+$T$24*K56^3+$S$24*K56^4</f>
        <v>-1.5659910558116632</v>
      </c>
      <c r="M56" s="11">
        <f>$W$31+$V$31*K56+$U$31*K56^2+$T$31*K56^3+$S$31*K56^4</f>
        <v>-1.3527944965182814</v>
      </c>
      <c r="N56" s="8"/>
      <c r="O56" s="8"/>
      <c r="P56" s="8"/>
      <c r="Q56" s="8"/>
      <c r="R56" s="8"/>
      <c r="S56" s="8"/>
      <c r="T56" s="8"/>
      <c r="U56" s="8"/>
      <c r="V56" s="8"/>
      <c r="W56" s="9"/>
    </row>
    <row r="57" spans="1:23" x14ac:dyDescent="0.3">
      <c r="A57" s="10">
        <v>0.5</v>
      </c>
      <c r="B57" s="11">
        <f t="shared" si="14"/>
        <v>-1.2616356099358041</v>
      </c>
      <c r="C57" s="11">
        <f t="shared" si="15"/>
        <v>-0.8910017636012153</v>
      </c>
      <c r="D57" s="8"/>
      <c r="E57" s="8"/>
      <c r="F57" s="8"/>
      <c r="G57" s="8"/>
      <c r="H57" s="8"/>
      <c r="I57" s="9"/>
      <c r="K57" s="10">
        <v>0.5</v>
      </c>
      <c r="L57" s="11">
        <f>$W$24+$V$24*K57+$U$24*K57^2+$T$24*K57^3+$S$24*K57^4</f>
        <v>-1.5637692545643402</v>
      </c>
      <c r="M57" s="11">
        <f>$W$31+$V$31*K57+$U$31*K57^2+$T$31*K57^3+$S$31*K57^4</f>
        <v>-1.3282145776336853</v>
      </c>
      <c r="N57" s="8"/>
      <c r="O57" s="8"/>
      <c r="P57" s="8"/>
      <c r="Q57" s="8"/>
      <c r="R57" s="8"/>
      <c r="S57" s="8"/>
      <c r="T57" s="8"/>
      <c r="U57" s="8"/>
      <c r="V57" s="8"/>
      <c r="W57" s="9"/>
    </row>
    <row r="58" spans="1:23" x14ac:dyDescent="0.3">
      <c r="A58" s="10">
        <v>0.55000000000000004</v>
      </c>
      <c r="B58" s="11">
        <f t="shared" si="14"/>
        <v>-1.196462534978088</v>
      </c>
      <c r="C58" s="11">
        <f t="shared" si="15"/>
        <v>-0.774613083272923</v>
      </c>
      <c r="D58" s="8"/>
      <c r="E58" s="8"/>
      <c r="F58" s="8"/>
      <c r="G58" s="8"/>
      <c r="H58" s="8"/>
      <c r="I58" s="9"/>
      <c r="K58" s="10">
        <v>0.55000000000000004</v>
      </c>
      <c r="L58" s="11">
        <f>$W$24+$V$24*K58+$U$24*K58^2+$T$24*K58^3+$S$24*K58^4</f>
        <v>-1.5548584955571905</v>
      </c>
      <c r="M58" s="11">
        <f>$W$31+$V$31*K58+$U$31*K58^2+$T$31*K58^3+$S$31*K58^4</f>
        <v>-1.2953359194053169</v>
      </c>
      <c r="N58" s="8"/>
      <c r="O58" s="8"/>
      <c r="P58" s="8"/>
      <c r="Q58" s="8"/>
      <c r="R58" s="8"/>
      <c r="S58" s="8"/>
      <c r="T58" s="8"/>
      <c r="U58" s="8"/>
      <c r="V58" s="8"/>
      <c r="W58" s="9"/>
    </row>
    <row r="59" spans="1:23" x14ac:dyDescent="0.3">
      <c r="A59" s="10">
        <v>0.6</v>
      </c>
      <c r="B59" s="11">
        <f t="shared" si="14"/>
        <v>-1.140079177405402</v>
      </c>
      <c r="C59" s="11">
        <f t="shared" si="15"/>
        <v>-0.67014589375762845</v>
      </c>
      <c r="D59" s="8"/>
      <c r="E59" s="8"/>
      <c r="F59" s="8"/>
      <c r="G59" s="8"/>
      <c r="H59" s="8"/>
      <c r="I59" s="9"/>
      <c r="K59" s="10">
        <v>0.6</v>
      </c>
      <c r="L59" s="11">
        <f>$W$24+$V$24*K59+$U$24*K59^2+$T$24*K59^3+$S$24*K59^4</f>
        <v>-1.5339675857396342</v>
      </c>
      <c r="M59" s="11">
        <f>$W$31+$V$31*K59+$U$31*K59^2+$T$31*K59^3+$S$31*K59^4</f>
        <v>-1.2488797488678558</v>
      </c>
      <c r="N59" s="8"/>
      <c r="O59" s="8"/>
      <c r="P59" s="8"/>
      <c r="Q59" s="8"/>
      <c r="R59" s="8"/>
      <c r="S59" s="8"/>
      <c r="T59" s="8"/>
      <c r="U59" s="8"/>
      <c r="V59" s="8"/>
      <c r="W59" s="9"/>
    </row>
    <row r="60" spans="1:23" x14ac:dyDescent="0.3">
      <c r="A60" s="10">
        <v>0.65</v>
      </c>
      <c r="B60" s="11">
        <f t="shared" si="14"/>
        <v>-1.1000139068979187</v>
      </c>
      <c r="C60" s="11">
        <f t="shared" si="15"/>
        <v>-0.58875983544564159</v>
      </c>
      <c r="D60" s="8"/>
      <c r="E60" s="8"/>
      <c r="F60" s="8"/>
      <c r="G60" s="8"/>
      <c r="H60" s="8"/>
      <c r="I60" s="9"/>
      <c r="K60" s="10">
        <v>0.65</v>
      </c>
      <c r="L60" s="11">
        <f>$W$24+$V$24*K60+$U$24*K60^2+$T$24*K60^3+$S$24*K60^4</f>
        <v>-1.4938378596667592</v>
      </c>
      <c r="M60" s="11">
        <f>$W$31+$V$31*K60+$U$31*K60^2+$T$31*K60^3+$S$31*K60^4</f>
        <v>-1.1812455876333936</v>
      </c>
      <c r="N60" s="8"/>
      <c r="O60" s="8"/>
      <c r="P60" s="8"/>
      <c r="Q60" s="8"/>
      <c r="R60" s="8"/>
      <c r="S60" s="8"/>
      <c r="T60" s="8"/>
      <c r="U60" s="8"/>
      <c r="V60" s="8"/>
      <c r="W60" s="9"/>
    </row>
    <row r="61" spans="1:23" x14ac:dyDescent="0.3">
      <c r="A61" s="10">
        <v>0.7</v>
      </c>
      <c r="B61" s="11">
        <f t="shared" si="14"/>
        <v>-1.0844497339775636</v>
      </c>
      <c r="C61" s="11">
        <f t="shared" si="15"/>
        <v>-0.54258495223947389</v>
      </c>
      <c r="D61" s="8"/>
      <c r="E61" s="8"/>
      <c r="F61" s="8"/>
      <c r="G61" s="8"/>
      <c r="H61" s="8"/>
      <c r="I61" s="9"/>
      <c r="K61" s="10">
        <v>0.7</v>
      </c>
      <c r="L61" s="11">
        <f>$W$24+$V$24*K61+$U$24*K61^2+$T$24*K61^3+$S$24*K61^4</f>
        <v>-1.4252431794993177</v>
      </c>
      <c r="M61" s="11">
        <f>$W$31+$V$31*K61+$U$31*K61^2+$T$31*K61^3+$S$31*K61^4</f>
        <v>-1.0825112518914333</v>
      </c>
      <c r="N61" s="8"/>
      <c r="O61" s="8"/>
      <c r="P61" s="8"/>
      <c r="Q61" s="8"/>
      <c r="R61" s="8"/>
      <c r="S61" s="8"/>
      <c r="T61" s="8"/>
      <c r="U61" s="8"/>
      <c r="V61" s="8"/>
      <c r="W61" s="9"/>
    </row>
    <row r="62" spans="1:23" x14ac:dyDescent="0.3">
      <c r="A62" s="10">
        <v>0.75</v>
      </c>
      <c r="B62" s="11">
        <f t="shared" si="14"/>
        <v>-1.1022243100080191</v>
      </c>
      <c r="C62" s="11">
        <f t="shared" si="15"/>
        <v>-0.54472169155383465</v>
      </c>
      <c r="D62" s="8"/>
      <c r="E62" s="8"/>
      <c r="F62" s="8"/>
      <c r="G62" s="8"/>
      <c r="H62" s="8"/>
      <c r="I62" s="9"/>
      <c r="K62" s="10">
        <v>0.75</v>
      </c>
      <c r="L62" s="11">
        <f>$W$24+$V$24*K62+$U$24*K62^2+$T$24*K62^3+$S$24*K62^4</f>
        <v>-1.3169899350037308</v>
      </c>
      <c r="M62" s="11">
        <f>$W$31+$V$31*K62+$U$31*K62^2+$T$31*K62^3+$S$31*K62^4</f>
        <v>-0.94043285240889407</v>
      </c>
      <c r="N62" s="8"/>
      <c r="O62" s="8"/>
      <c r="P62" s="8"/>
      <c r="Q62" s="8"/>
      <c r="R62" s="8"/>
      <c r="S62" s="8"/>
      <c r="T62" s="8"/>
      <c r="U62" s="8"/>
      <c r="V62" s="8"/>
      <c r="W62" s="9"/>
    </row>
    <row r="63" spans="1:23" x14ac:dyDescent="0.3">
      <c r="A63" s="10">
        <v>0.8</v>
      </c>
      <c r="B63" s="11">
        <f t="shared" si="14"/>
        <v>-1.1628299271947189</v>
      </c>
      <c r="C63" s="11">
        <f t="shared" si="15"/>
        <v>-0.60924090431563727</v>
      </c>
      <c r="D63" s="8"/>
      <c r="E63" s="8"/>
      <c r="F63" s="8"/>
      <c r="G63" s="8"/>
      <c r="H63" s="8"/>
      <c r="I63" s="9"/>
      <c r="K63" s="10">
        <v>0.8</v>
      </c>
      <c r="L63" s="11">
        <f>$W$24+$V$24*K63+$U$24*K63^2+$T$24*K63^3+$S$24*K63^4</f>
        <v>-1.155917043552086</v>
      </c>
      <c r="M63" s="11">
        <f>$W$31+$V$31*K63+$U$31*K63^2+$T$31*K63^3+$S$31*K63^4</f>
        <v>-0.74044479453010137</v>
      </c>
      <c r="N63" s="8"/>
      <c r="O63" s="8"/>
      <c r="P63" s="8"/>
      <c r="Q63" s="8"/>
      <c r="R63" s="8"/>
      <c r="S63" s="8"/>
      <c r="T63" s="8"/>
      <c r="U63" s="8"/>
      <c r="V63" s="8"/>
      <c r="W63" s="9"/>
    </row>
    <row r="64" spans="1:23" x14ac:dyDescent="0.3">
      <c r="A64" s="10">
        <v>0.85</v>
      </c>
      <c r="B64" s="11">
        <f t="shared" si="14"/>
        <v>-1.2764135185848522</v>
      </c>
      <c r="C64" s="11">
        <f t="shared" si="15"/>
        <v>-0.75118384496399493</v>
      </c>
      <c r="D64" s="8"/>
      <c r="E64" s="8"/>
      <c r="F64" s="8"/>
      <c r="G64" s="8"/>
      <c r="H64" s="8"/>
      <c r="I64" s="9"/>
      <c r="K64" s="10">
        <v>0.85</v>
      </c>
      <c r="L64" s="11">
        <f>$W$24+$V$24*K64+$U$24*K64^2+$T$24*K64^3+$S$24*K64^4</f>
        <v>-0.92689595012213921</v>
      </c>
      <c r="M64" s="11">
        <f>$W$31+$V$31*K64+$U$31*K64^2+$T$31*K64^3+$S$31*K64^4</f>
        <v>-0.46565977817680171</v>
      </c>
      <c r="N64" s="8"/>
      <c r="O64" s="8"/>
      <c r="P64" s="8"/>
      <c r="Q64" s="8"/>
      <c r="R64" s="8"/>
      <c r="S64" s="8"/>
      <c r="T64" s="8"/>
      <c r="U64" s="8"/>
      <c r="V64" s="8"/>
      <c r="W64" s="9"/>
    </row>
    <row r="65" spans="1:23" x14ac:dyDescent="0.3">
      <c r="A65" s="10">
        <v>0.9</v>
      </c>
      <c r="B65" s="11">
        <f t="shared" si="14"/>
        <v>-1.4537766580673623</v>
      </c>
      <c r="C65" s="11">
        <f t="shared" si="15"/>
        <v>-0.9865621714502204</v>
      </c>
      <c r="D65" s="8"/>
      <c r="E65" s="8"/>
      <c r="F65" s="8"/>
      <c r="G65" s="8"/>
      <c r="H65" s="8"/>
      <c r="I65" s="9"/>
      <c r="K65" s="10">
        <v>0.9</v>
      </c>
      <c r="L65" s="11">
        <f>$W$24+$V$24*K65+$U$24*K65^2+$T$24*K65^3+$S$24*K65^4</f>
        <v>-0.61283062729730453</v>
      </c>
      <c r="M65" s="11">
        <f>$W$31+$V$31*K65+$U$31*K65^2+$T$31*K65^3+$S$31*K65^4</f>
        <v>-9.6868797848143728E-2</v>
      </c>
      <c r="N65" s="8"/>
      <c r="O65" s="8"/>
      <c r="P65" s="8"/>
      <c r="Q65" s="8"/>
      <c r="R65" s="8"/>
      <c r="S65" s="8"/>
      <c r="T65" s="8"/>
      <c r="U65" s="8"/>
      <c r="V65" s="8"/>
      <c r="W65" s="9"/>
    </row>
    <row r="66" spans="1:23" x14ac:dyDescent="0.3">
      <c r="A66" s="10">
        <v>0.95</v>
      </c>
      <c r="B66" s="11">
        <f t="shared" si="14"/>
        <v>-1.706375560372948</v>
      </c>
      <c r="C66" s="11">
        <f t="shared" si="15"/>
        <v>-1.3323579452378311</v>
      </c>
      <c r="D66" s="8"/>
      <c r="E66" s="8"/>
      <c r="F66" s="8"/>
      <c r="G66" s="8"/>
      <c r="H66" s="8"/>
      <c r="I66" s="9"/>
      <c r="K66" s="10">
        <v>0.95</v>
      </c>
      <c r="L66" s="11">
        <f>$W$24+$V$24*K66+$U$24*K66^2+$T$24*K66^3+$S$24*K66^4</f>
        <v>-0.1946575752666746</v>
      </c>
      <c r="M66" s="11">
        <f>$W$31+$V$31*K66+$U$31*K66^2+$T$31*K66^3+$S$31*K66^4</f>
        <v>0.38745885737930941</v>
      </c>
      <c r="N66" s="8"/>
      <c r="O66" s="8"/>
      <c r="P66" s="8"/>
      <c r="Q66" s="8"/>
      <c r="R66" s="8"/>
      <c r="S66" s="8"/>
      <c r="T66" s="8"/>
      <c r="U66" s="8"/>
      <c r="V66" s="8"/>
      <c r="W66" s="9"/>
    </row>
    <row r="67" spans="1:23" ht="15.6" thickBot="1" x14ac:dyDescent="0.35">
      <c r="A67" s="12">
        <v>1</v>
      </c>
      <c r="B67" s="13">
        <f t="shared" si="14"/>
        <v>-2.0463210810740584</v>
      </c>
      <c r="C67" s="13">
        <f t="shared" si="15"/>
        <v>-1.8065236313025386</v>
      </c>
      <c r="D67" s="14"/>
      <c r="E67" s="14"/>
      <c r="F67" s="14"/>
      <c r="G67" s="14"/>
      <c r="H67" s="14"/>
      <c r="I67" s="15"/>
      <c r="K67" s="12">
        <v>1</v>
      </c>
      <c r="L67" s="13">
        <f>$W$24+$V$24*K67+$U$24*K67^2+$T$24*K67^3+$S$24*K67^4</f>
        <v>0.34865417817499988</v>
      </c>
      <c r="M67" s="13">
        <f>$W$31+$V$31*K67+$U$31*K67^2+$T$31*K67^3+$S$31*K67^4</f>
        <v>1.0111756038515729</v>
      </c>
      <c r="N67" s="14"/>
      <c r="O67" s="14"/>
      <c r="P67" s="14"/>
      <c r="Q67" s="14"/>
      <c r="R67" s="14"/>
      <c r="S67" s="14"/>
      <c r="T67" s="14"/>
      <c r="U67" s="14"/>
      <c r="V67" s="14"/>
      <c r="W67" s="1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EDEF-762E-46F7-B425-C746E2E16ECA}">
  <dimension ref="A1:M56"/>
  <sheetViews>
    <sheetView tabSelected="1" workbookViewId="0">
      <selection activeCell="T23" sqref="T23"/>
    </sheetView>
  </sheetViews>
  <sheetFormatPr defaultRowHeight="15" x14ac:dyDescent="0.3"/>
  <cols>
    <col min="1" max="2" width="9.7265625" bestFit="1" customWidth="1"/>
    <col min="3" max="3" width="9.26953125" bestFit="1" customWidth="1"/>
    <col min="6" max="6" width="9.08984375" bestFit="1" customWidth="1"/>
    <col min="8" max="8" width="9.7265625" bestFit="1" customWidth="1"/>
    <col min="9" max="9" width="10.6328125" customWidth="1"/>
    <col min="10" max="10" width="14.7265625" customWidth="1"/>
    <col min="12" max="12" width="13.6328125" bestFit="1" customWidth="1"/>
    <col min="13" max="13" width="9.08984375" bestFit="1" customWidth="1"/>
    <col min="15" max="15" width="11.90625" customWidth="1"/>
    <col min="16" max="16" width="9.08984375" bestFit="1" customWidth="1"/>
  </cols>
  <sheetData>
    <row r="1" spans="1:13" x14ac:dyDescent="0.3">
      <c r="A1" t="s">
        <v>7</v>
      </c>
      <c r="B1" t="str">
        <f>過剰混合ギブズエネルギー!A1</f>
        <v>x2 [-]</v>
      </c>
      <c r="C1" t="s">
        <v>6</v>
      </c>
      <c r="D1" t="s">
        <v>5</v>
      </c>
      <c r="E1" t="s">
        <v>25</v>
      </c>
      <c r="F1" t="str">
        <f>過剰混合ギブズエネルギー!B1</f>
        <v>温度 [K]</v>
      </c>
      <c r="G1" t="str">
        <f>過剰混合ギブズエネルギー!D1</f>
        <v>GM [J/mol]</v>
      </c>
      <c r="H1" t="s">
        <v>29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3">
      <c r="A2">
        <f t="shared" ref="A2:A20" si="0">1 - B2</f>
        <v>9.9999999999999978E-2</v>
      </c>
      <c r="B2">
        <f>過剰混合ギブズエネルギー!A2</f>
        <v>0.9</v>
      </c>
      <c r="C2" s="3">
        <f t="shared" ref="C2:C20" si="1">A2/(A2+1/$L$9*B2)</f>
        <v>2.0357742859966395E-2</v>
      </c>
      <c r="D2" s="3">
        <f t="shared" ref="D2:D20" si="2">B2/($L$9*A2+B2)</f>
        <v>0.97964225714003361</v>
      </c>
      <c r="E2" s="3">
        <f>SUM(C2:D2)</f>
        <v>1</v>
      </c>
      <c r="F2">
        <f>過剰混合ギブズエネルギー!B2</f>
        <v>298.14440000000002</v>
      </c>
      <c r="G2">
        <f>過剰混合ギブズエネルギー!D2</f>
        <v>-519</v>
      </c>
      <c r="H2" s="3">
        <f>1/(A2*D2)*(A2*LN(A2/C2)+B2*LN(B2/D2)+G2/$L$2/F2)</f>
        <v>-1.2913766714255368</v>
      </c>
      <c r="J2" t="s">
        <v>26</v>
      </c>
      <c r="K2" t="s">
        <v>27</v>
      </c>
      <c r="L2">
        <v>8.3144626200000005</v>
      </c>
      <c r="M2" t="s">
        <v>28</v>
      </c>
    </row>
    <row r="3" spans="1:13" x14ac:dyDescent="0.3">
      <c r="A3">
        <f t="shared" si="0"/>
        <v>0.19999999999999996</v>
      </c>
      <c r="B3">
        <f>過剰混合ギブズエネルギー!A3</f>
        <v>0.8</v>
      </c>
      <c r="C3" s="3">
        <f t="shared" si="1"/>
        <v>4.4668240736279084E-2</v>
      </c>
      <c r="D3" s="3">
        <f t="shared" si="2"/>
        <v>0.95533175926372083</v>
      </c>
      <c r="E3" s="3">
        <f t="shared" ref="E3:E20" si="3">SUM(C3:D3)</f>
        <v>0.99999999999999989</v>
      </c>
      <c r="F3">
        <f>過剰混合ギブズエネルギー!B3</f>
        <v>298.14440000000002</v>
      </c>
      <c r="G3">
        <f>過剰混合ギブズエネルギー!D3</f>
        <v>-992</v>
      </c>
      <c r="H3" s="3">
        <f t="shared" ref="H3:H20" si="4">1/(A3*D3)*(A3*LN(A3/C3)+B3*LN(B3/D3)+G3/$L$2/F3)</f>
        <v>-1.2682632921583279</v>
      </c>
      <c r="J3" t="s">
        <v>13</v>
      </c>
      <c r="K3" t="s">
        <v>17</v>
      </c>
      <c r="L3">
        <v>1000</v>
      </c>
      <c r="M3" t="s">
        <v>14</v>
      </c>
    </row>
    <row r="4" spans="1:13" x14ac:dyDescent="0.3">
      <c r="A4">
        <f t="shared" si="0"/>
        <v>0.30000000000000004</v>
      </c>
      <c r="B4">
        <f>過剰混合ギブズエネルギー!A4</f>
        <v>0.7</v>
      </c>
      <c r="C4" s="3">
        <f t="shared" si="1"/>
        <v>7.4206502741718167E-2</v>
      </c>
      <c r="D4" s="3">
        <f t="shared" si="2"/>
        <v>0.92579349725828175</v>
      </c>
      <c r="E4" s="3">
        <f t="shared" si="3"/>
        <v>0.99999999999999989</v>
      </c>
      <c r="F4">
        <f>過剰混合ギブズエネルギー!B4</f>
        <v>298.14440000000002</v>
      </c>
      <c r="G4">
        <f>過剰混合ギブズエネルギー!D4</f>
        <v>-1485</v>
      </c>
      <c r="H4" s="3">
        <f t="shared" si="4"/>
        <v>-1.3526195120999391</v>
      </c>
      <c r="J4" t="s">
        <v>15</v>
      </c>
      <c r="K4" t="s">
        <v>16</v>
      </c>
      <c r="L4">
        <v>1030</v>
      </c>
      <c r="M4" t="s">
        <v>14</v>
      </c>
    </row>
    <row r="5" spans="1:13" x14ac:dyDescent="0.3">
      <c r="A5">
        <f t="shared" si="0"/>
        <v>0.4</v>
      </c>
      <c r="B5">
        <f>過剰混合ギブズエネルギー!A5</f>
        <v>0.6</v>
      </c>
      <c r="C5" s="3">
        <f t="shared" si="1"/>
        <v>0.1108619607139654</v>
      </c>
      <c r="D5" s="3">
        <f t="shared" si="2"/>
        <v>0.88913803928603463</v>
      </c>
      <c r="E5" s="3">
        <f t="shared" si="3"/>
        <v>1</v>
      </c>
      <c r="F5">
        <f>過剰混合ギブズエネルギー!B5</f>
        <v>298.14440000000002</v>
      </c>
      <c r="G5">
        <f>過剰混合ギブズエネルギー!D5</f>
        <v>-1967</v>
      </c>
      <c r="H5" s="3">
        <f t="shared" si="4"/>
        <v>-1.4514506205618123</v>
      </c>
      <c r="J5" t="s">
        <v>18</v>
      </c>
      <c r="K5" t="s">
        <v>20</v>
      </c>
      <c r="L5">
        <v>18</v>
      </c>
      <c r="M5" t="s">
        <v>22</v>
      </c>
    </row>
    <row r="6" spans="1:13" x14ac:dyDescent="0.3">
      <c r="A6">
        <f t="shared" si="0"/>
        <v>0.5</v>
      </c>
      <c r="B6">
        <f>過剰混合ギブズエネルギー!A6</f>
        <v>0.5</v>
      </c>
      <c r="C6" s="3">
        <f t="shared" si="1"/>
        <v>0.15755927594119148</v>
      </c>
      <c r="D6" s="3">
        <f t="shared" si="2"/>
        <v>0.84244072405880854</v>
      </c>
      <c r="E6" s="3">
        <f t="shared" si="3"/>
        <v>1</v>
      </c>
      <c r="F6">
        <f>過剰混合ギブズエネルギー!B6</f>
        <v>298.14440000000002</v>
      </c>
      <c r="G6">
        <f>過剰混合ギブズエネルギー!D6</f>
        <v>-2380</v>
      </c>
      <c r="H6" s="3">
        <f t="shared" si="4"/>
        <v>-1.5278075302222651</v>
      </c>
      <c r="J6" t="s">
        <v>19</v>
      </c>
      <c r="K6" t="s">
        <v>21</v>
      </c>
      <c r="L6">
        <v>99.13</v>
      </c>
      <c r="M6" t="s">
        <v>22</v>
      </c>
    </row>
    <row r="7" spans="1:13" x14ac:dyDescent="0.3">
      <c r="A7">
        <f t="shared" si="0"/>
        <v>0.6</v>
      </c>
      <c r="B7">
        <f>過剰混合ギブズエネルギー!A7</f>
        <v>0.4</v>
      </c>
      <c r="C7" s="3">
        <f t="shared" si="1"/>
        <v>0.21907988025838979</v>
      </c>
      <c r="D7" s="3">
        <f t="shared" si="2"/>
        <v>0.78092011974161024</v>
      </c>
      <c r="E7" s="3">
        <f t="shared" si="3"/>
        <v>1</v>
      </c>
      <c r="F7">
        <f>過剰混合ギブズエネルギー!B7</f>
        <v>298.14440000000002</v>
      </c>
      <c r="G7">
        <f>過剰混合ギブズエネルギー!D7</f>
        <v>-2660</v>
      </c>
      <c r="H7" s="3">
        <f t="shared" si="4"/>
        <v>-1.5711368963773451</v>
      </c>
      <c r="J7" t="s">
        <v>8</v>
      </c>
      <c r="K7" t="s">
        <v>9</v>
      </c>
      <c r="L7" s="3">
        <v>1.8E-5</v>
      </c>
      <c r="M7" t="s">
        <v>10</v>
      </c>
    </row>
    <row r="8" spans="1:13" x14ac:dyDescent="0.3">
      <c r="A8">
        <f t="shared" si="0"/>
        <v>0.66999999999999993</v>
      </c>
      <c r="B8">
        <f>過剰混合ギブズエネルギー!A8</f>
        <v>0.33</v>
      </c>
      <c r="C8" s="3">
        <f t="shared" si="1"/>
        <v>0.27521618621592697</v>
      </c>
      <c r="D8" s="3">
        <f t="shared" si="2"/>
        <v>0.72478381378407308</v>
      </c>
      <c r="E8" s="3">
        <f t="shared" si="3"/>
        <v>1</v>
      </c>
      <c r="F8">
        <f>過剰混合ギブズエネルギー!B8</f>
        <v>298.14440000000002</v>
      </c>
      <c r="G8">
        <f>過剰混合ギブズエネルギー!D8</f>
        <v>-2600</v>
      </c>
      <c r="H8" s="3">
        <f t="shared" si="4"/>
        <v>-1.466979086078777</v>
      </c>
      <c r="J8" t="s">
        <v>11</v>
      </c>
      <c r="K8" t="s">
        <v>12</v>
      </c>
      <c r="L8" s="3">
        <f>L6*0.001/L4</f>
        <v>9.6242718446601938E-5</v>
      </c>
      <c r="M8" t="s">
        <v>10</v>
      </c>
    </row>
    <row r="9" spans="1:13" x14ac:dyDescent="0.3">
      <c r="A9">
        <f t="shared" si="0"/>
        <v>0.7</v>
      </c>
      <c r="B9">
        <f>過剰混合ギブズエネルギー!A9</f>
        <v>0.3</v>
      </c>
      <c r="C9" s="3">
        <f t="shared" si="1"/>
        <v>0.30381347004705389</v>
      </c>
      <c r="D9" s="3">
        <f t="shared" si="2"/>
        <v>0.69618652995294616</v>
      </c>
      <c r="E9" s="3">
        <f t="shared" si="3"/>
        <v>1</v>
      </c>
      <c r="F9">
        <f>過剰混合ギブズエネルギー!B9</f>
        <v>298.14440000000002</v>
      </c>
      <c r="G9">
        <f>過剰混合ギブズエネルギー!D9</f>
        <v>-2739</v>
      </c>
      <c r="H9" s="3">
        <f t="shared" si="4"/>
        <v>-1.5866128909409316</v>
      </c>
      <c r="K9" t="s">
        <v>23</v>
      </c>
      <c r="L9" s="3">
        <f>L7/L8</f>
        <v>0.18702713608393021</v>
      </c>
      <c r="M9" t="s">
        <v>24</v>
      </c>
    </row>
    <row r="10" spans="1:13" x14ac:dyDescent="0.3">
      <c r="A10">
        <f t="shared" si="0"/>
        <v>0.8</v>
      </c>
      <c r="B10">
        <f>過剰混合ギブズエネルギー!A10</f>
        <v>0.2</v>
      </c>
      <c r="C10" s="3">
        <f t="shared" si="1"/>
        <v>0.42795314213168678</v>
      </c>
      <c r="D10" s="3">
        <f t="shared" si="2"/>
        <v>0.57204685786831322</v>
      </c>
      <c r="E10" s="3">
        <f t="shared" si="3"/>
        <v>1</v>
      </c>
      <c r="F10">
        <f>過剰混合ギブズエネルギー!B10</f>
        <v>298.14440000000002</v>
      </c>
      <c r="G10">
        <f>過剰混合ギブズエネルギー!D10</f>
        <v>-2505</v>
      </c>
      <c r="H10" s="3">
        <f t="shared" si="4"/>
        <v>-1.5737934726088458</v>
      </c>
    </row>
    <row r="11" spans="1:13" x14ac:dyDescent="0.3">
      <c r="A11">
        <f t="shared" si="0"/>
        <v>0.9</v>
      </c>
      <c r="B11">
        <f>過剰混合ギブズエネルギー!A11</f>
        <v>0.1</v>
      </c>
      <c r="C11" s="3">
        <f t="shared" si="1"/>
        <v>0.62731681642167003</v>
      </c>
      <c r="D11" s="3">
        <f t="shared" si="2"/>
        <v>0.37268318357832997</v>
      </c>
      <c r="E11" s="3">
        <f t="shared" si="3"/>
        <v>1</v>
      </c>
      <c r="F11">
        <f>過剰混合ギブズエネルギー!B11</f>
        <v>298.14440000000002</v>
      </c>
      <c r="G11">
        <f>過剰混合ギブズエネルギー!D11</f>
        <v>-1738</v>
      </c>
      <c r="H11" s="3">
        <f t="shared" si="4"/>
        <v>-1.5140103131496225</v>
      </c>
    </row>
    <row r="12" spans="1:13" x14ac:dyDescent="0.3">
      <c r="A12">
        <f t="shared" si="0"/>
        <v>9.9999999999999978E-2</v>
      </c>
      <c r="B12">
        <f>過剰混合ギブズエネルギー!A18</f>
        <v>0.9</v>
      </c>
      <c r="C12" s="3">
        <f t="shared" si="1"/>
        <v>2.0357742859966395E-2</v>
      </c>
      <c r="D12" s="3">
        <f t="shared" si="2"/>
        <v>0.97964225714003361</v>
      </c>
      <c r="E12" s="3">
        <f t="shared" si="3"/>
        <v>1</v>
      </c>
      <c r="F12">
        <f>過剰混合ギブズエネルギー!B18</f>
        <v>307.99160000000001</v>
      </c>
      <c r="G12">
        <f>過剰混合ギブズエネルギー!D18</f>
        <v>-462</v>
      </c>
      <c r="H12" s="3">
        <f t="shared" si="4"/>
        <v>-0.99583285786358167</v>
      </c>
    </row>
    <row r="13" spans="1:13" x14ac:dyDescent="0.3">
      <c r="A13">
        <f t="shared" si="0"/>
        <v>0.19999999999999996</v>
      </c>
      <c r="B13">
        <f>過剰混合ギブズエネルギー!A19</f>
        <v>0.8</v>
      </c>
      <c r="C13" s="3">
        <f t="shared" si="1"/>
        <v>4.4668240736279084E-2</v>
      </c>
      <c r="D13" s="3">
        <f t="shared" si="2"/>
        <v>0.95533175926372083</v>
      </c>
      <c r="E13" s="3">
        <f t="shared" si="3"/>
        <v>0.99999999999999989</v>
      </c>
      <c r="F13">
        <f>過剰混合ギブズエネルギー!B19</f>
        <v>307.99160000000001</v>
      </c>
      <c r="G13">
        <f>過剰混合ギブズエネルギー!D19</f>
        <v>-952</v>
      </c>
      <c r="H13" s="3">
        <f t="shared" si="4"/>
        <v>-1.1195466118006885</v>
      </c>
    </row>
    <row r="14" spans="1:13" x14ac:dyDescent="0.3">
      <c r="A14">
        <f t="shared" si="0"/>
        <v>0.30000000000000004</v>
      </c>
      <c r="B14">
        <f>過剰混合ギブズエネルギー!A20</f>
        <v>0.7</v>
      </c>
      <c r="C14" s="3">
        <f t="shared" si="1"/>
        <v>7.4206502741718167E-2</v>
      </c>
      <c r="D14" s="3">
        <f t="shared" si="2"/>
        <v>0.92579349725828175</v>
      </c>
      <c r="E14" s="3">
        <f t="shared" si="3"/>
        <v>0.99999999999999989</v>
      </c>
      <c r="F14">
        <f>過剰混合ギブズエネルギー!B20</f>
        <v>307.99160000000001</v>
      </c>
      <c r="G14">
        <f>過剰混合ギブズエネルギー!D20</f>
        <v>-1423</v>
      </c>
      <c r="H14" s="3">
        <f t="shared" si="4"/>
        <v>-1.1964851691771323</v>
      </c>
    </row>
    <row r="15" spans="1:13" x14ac:dyDescent="0.3">
      <c r="A15">
        <f t="shared" si="0"/>
        <v>0.4</v>
      </c>
      <c r="B15">
        <f>過剰混合ギブズエネルギー!A21</f>
        <v>0.6</v>
      </c>
      <c r="C15" s="3">
        <f t="shared" si="1"/>
        <v>0.1108619607139654</v>
      </c>
      <c r="D15" s="3">
        <f t="shared" si="2"/>
        <v>0.88913803928603463</v>
      </c>
      <c r="E15" s="3">
        <f t="shared" si="3"/>
        <v>1</v>
      </c>
      <c r="F15">
        <f>過剰混合ギブズエネルギー!B21</f>
        <v>307.99160000000001</v>
      </c>
      <c r="G15">
        <f>過剰混合ギブズエネルギー!D21</f>
        <v>-1860</v>
      </c>
      <c r="H15" s="3">
        <f t="shared" si="4"/>
        <v>-1.262633231573862</v>
      </c>
    </row>
    <row r="16" spans="1:13" x14ac:dyDescent="0.3">
      <c r="A16">
        <f t="shared" si="0"/>
        <v>0.5</v>
      </c>
      <c r="B16">
        <f>過剰混合ギブズエネルギー!A22</f>
        <v>0.5</v>
      </c>
      <c r="C16" s="3">
        <f t="shared" si="1"/>
        <v>0.15755927594119148</v>
      </c>
      <c r="D16" s="3">
        <f t="shared" si="2"/>
        <v>0.84244072405880854</v>
      </c>
      <c r="E16" s="3">
        <f t="shared" si="3"/>
        <v>1</v>
      </c>
      <c r="F16">
        <f>過剰混合ギブズエネルギー!B22</f>
        <v>307.99160000000001</v>
      </c>
      <c r="G16">
        <f>過剰混合ギブズエネルギー!D22</f>
        <v>-2243</v>
      </c>
      <c r="H16" s="3">
        <f t="shared" si="4"/>
        <v>-1.3279221123422738</v>
      </c>
    </row>
    <row r="17" spans="1:13" x14ac:dyDescent="0.3">
      <c r="A17">
        <f t="shared" si="0"/>
        <v>0.6</v>
      </c>
      <c r="B17">
        <f>過剰混合ギブズエネルギー!A23</f>
        <v>0.4</v>
      </c>
      <c r="C17" s="3">
        <f t="shared" si="1"/>
        <v>0.21907988025838979</v>
      </c>
      <c r="D17" s="3">
        <f t="shared" si="2"/>
        <v>0.78092011974161024</v>
      </c>
      <c r="E17" s="3">
        <f t="shared" si="3"/>
        <v>1</v>
      </c>
      <c r="F17">
        <f>過剰混合ギブズエネルギー!B23</f>
        <v>307.99160000000001</v>
      </c>
      <c r="G17">
        <f>過剰混合ギブズエネルギー!D23</f>
        <v>-2521</v>
      </c>
      <c r="H17" s="3">
        <f t="shared" si="4"/>
        <v>-1.3820689432890265</v>
      </c>
    </row>
    <row r="18" spans="1:13" x14ac:dyDescent="0.3">
      <c r="A18">
        <f t="shared" si="0"/>
        <v>0.7</v>
      </c>
      <c r="B18">
        <f>過剰混合ギブズエネルギー!A24</f>
        <v>0.3</v>
      </c>
      <c r="C18" s="3">
        <f t="shared" si="1"/>
        <v>0.30381347004705389</v>
      </c>
      <c r="D18" s="3">
        <f t="shared" si="2"/>
        <v>0.69618652995294616</v>
      </c>
      <c r="E18" s="3">
        <f t="shared" si="3"/>
        <v>1</v>
      </c>
      <c r="F18">
        <f>過剰混合ギブズエネルギー!B24</f>
        <v>307.99160000000001</v>
      </c>
      <c r="G18">
        <f>過剰混合ギブズエネルギー!D24</f>
        <v>-2601</v>
      </c>
      <c r="H18" s="3">
        <f t="shared" si="4"/>
        <v>-1.4035408629153976</v>
      </c>
    </row>
    <row r="19" spans="1:13" x14ac:dyDescent="0.3">
      <c r="A19">
        <f t="shared" si="0"/>
        <v>0.8</v>
      </c>
      <c r="B19">
        <f>過剰混合ギブズエネルギー!A25</f>
        <v>0.2</v>
      </c>
      <c r="C19" s="3">
        <f t="shared" si="1"/>
        <v>0.42795314213168678</v>
      </c>
      <c r="D19" s="3">
        <f t="shared" si="2"/>
        <v>0.57204685786831322</v>
      </c>
      <c r="E19" s="3">
        <f t="shared" si="3"/>
        <v>1</v>
      </c>
      <c r="F19">
        <f>過剰混合ギブズエネルギー!B25</f>
        <v>307.99160000000001</v>
      </c>
      <c r="G19">
        <f>過剰混合ギブズエネルギー!D25</f>
        <v>-2335</v>
      </c>
      <c r="H19" s="3">
        <f t="shared" si="4"/>
        <v>-1.3581321650903104</v>
      </c>
    </row>
    <row r="20" spans="1:13" x14ac:dyDescent="0.3">
      <c r="A20">
        <f t="shared" si="0"/>
        <v>0.9</v>
      </c>
      <c r="B20">
        <f>過剰混合ギブズエネルギー!A26</f>
        <v>0.1</v>
      </c>
      <c r="C20" s="3">
        <f t="shared" si="1"/>
        <v>0.62731681642167003</v>
      </c>
      <c r="D20" s="3">
        <f t="shared" si="2"/>
        <v>0.37268318357832997</v>
      </c>
      <c r="E20" s="3">
        <f t="shared" si="3"/>
        <v>1</v>
      </c>
      <c r="F20">
        <f>過剰混合ギブズエネルギー!B26</f>
        <v>307.99160000000001</v>
      </c>
      <c r="G20">
        <f>過剰混合ギブズエネルギー!D26</f>
        <v>-1539</v>
      </c>
      <c r="H20" s="3">
        <f t="shared" si="4"/>
        <v>-1.2154940293363214</v>
      </c>
    </row>
    <row r="21" spans="1:13" ht="15.6" thickBot="1" x14ac:dyDescent="0.35"/>
    <row r="22" spans="1:13" x14ac:dyDescent="0.3">
      <c r="A22" s="4" t="s">
        <v>49</v>
      </c>
      <c r="B22" s="5"/>
      <c r="C22" s="5"/>
      <c r="D22" s="5"/>
      <c r="E22" s="5"/>
      <c r="F22" s="6"/>
      <c r="H22" s="4" t="s">
        <v>49</v>
      </c>
      <c r="I22" s="5"/>
      <c r="J22" s="5"/>
      <c r="K22" s="5"/>
      <c r="L22" s="5"/>
      <c r="M22" s="6"/>
    </row>
    <row r="23" spans="1:13" x14ac:dyDescent="0.3">
      <c r="A23" s="7" t="s">
        <v>53</v>
      </c>
      <c r="B23" s="8" t="s">
        <v>54</v>
      </c>
      <c r="C23" s="8" t="s">
        <v>55</v>
      </c>
      <c r="D23" s="8"/>
      <c r="E23" s="8" t="s">
        <v>50</v>
      </c>
      <c r="F23" s="9">
        <v>-1.2998894928173064</v>
      </c>
      <c r="H23" s="7" t="s">
        <v>53</v>
      </c>
      <c r="I23" s="8" t="s">
        <v>54</v>
      </c>
      <c r="J23" s="8" t="s">
        <v>55</v>
      </c>
      <c r="K23" s="8"/>
      <c r="L23" s="8" t="s">
        <v>50</v>
      </c>
      <c r="M23" s="9">
        <v>7.5926565555915007</v>
      </c>
    </row>
    <row r="24" spans="1:13" x14ac:dyDescent="0.3">
      <c r="A24" s="10">
        <f>D2</f>
        <v>0.97964225714003361</v>
      </c>
      <c r="B24" s="11">
        <f>$F$23+$F$24/(1-$F$25*A24)</f>
        <v>-1.4176607233791367</v>
      </c>
      <c r="C24" s="11">
        <f>(B24-H2)^2</f>
        <v>1.5947661777819526E-2</v>
      </c>
      <c r="D24" s="8"/>
      <c r="E24" s="8" t="s">
        <v>51</v>
      </c>
      <c r="F24" s="9">
        <v>-11.655138643936906</v>
      </c>
      <c r="H24" s="10">
        <f>D12</f>
        <v>0.97964225714003361</v>
      </c>
      <c r="I24" s="11">
        <f>$M$23+$M$24/(1-$M$25*H24)</f>
        <v>-1.1933324841424939</v>
      </c>
      <c r="J24" s="11">
        <f>(I24-H12)^2</f>
        <v>3.9006102380310013E-2</v>
      </c>
      <c r="K24" s="8"/>
      <c r="L24" s="8" t="s">
        <v>51</v>
      </c>
      <c r="M24" s="9">
        <v>-9.0753531405384731</v>
      </c>
    </row>
    <row r="25" spans="1:13" x14ac:dyDescent="0.3">
      <c r="A25" s="10">
        <f t="shared" ref="A25:A34" si="5">D3</f>
        <v>0.95533175926372083</v>
      </c>
      <c r="B25" s="11">
        <f>$F$23+$F$24/(1-$F$25*A25)</f>
        <v>-1.420626623157103</v>
      </c>
      <c r="C25" s="11">
        <f t="shared" ref="C25:C33" si="6">(B25-H3)^2</f>
        <v>2.3214584633042296E-2</v>
      </c>
      <c r="D25" s="8"/>
      <c r="E25" s="8" t="s">
        <v>52</v>
      </c>
      <c r="F25" s="9">
        <v>-100</v>
      </c>
      <c r="H25" s="10">
        <f t="shared" ref="H25:H33" si="7">D13</f>
        <v>0.95533175926372083</v>
      </c>
      <c r="I25" s="11">
        <f t="shared" ref="I25:I33" si="8">$M$23+$M$24/(1-$M$25*H25)</f>
        <v>-1.2002898026178732</v>
      </c>
      <c r="J25" s="11">
        <f t="shared" ref="J25:J32" si="9">(I25-H13)^2</f>
        <v>6.5194628633403039E-3</v>
      </c>
      <c r="K25" s="8"/>
      <c r="L25" s="8" t="s">
        <v>52</v>
      </c>
      <c r="M25" s="9">
        <v>-3.361913097314962E-2</v>
      </c>
    </row>
    <row r="26" spans="1:13" x14ac:dyDescent="0.3">
      <c r="A26" s="10">
        <f t="shared" si="5"/>
        <v>0.92579349725828175</v>
      </c>
      <c r="B26" s="11">
        <f>$F$23+$F$24/(1-$F$25*A26)</f>
        <v>-1.4244376829691348</v>
      </c>
      <c r="C26" s="11">
        <f t="shared" si="6"/>
        <v>5.1578496669969784E-3</v>
      </c>
      <c r="D26" s="8"/>
      <c r="E26" s="8"/>
      <c r="F26" s="9"/>
      <c r="H26" s="10">
        <f t="shared" si="7"/>
        <v>0.92579349725828175</v>
      </c>
      <c r="I26" s="11">
        <f t="shared" si="8"/>
        <v>-1.2087580744946758</v>
      </c>
      <c r="J26" s="11">
        <f t="shared" si="9"/>
        <v>1.5062420493338596E-4</v>
      </c>
      <c r="K26" s="8"/>
      <c r="L26" s="8"/>
      <c r="M26" s="9"/>
    </row>
    <row r="27" spans="1:13" x14ac:dyDescent="0.3">
      <c r="A27" s="10">
        <f t="shared" si="5"/>
        <v>0.88913803928603463</v>
      </c>
      <c r="B27" s="11">
        <f>$F$23+$F$24/(1-$F$25*A27)</f>
        <v>-1.4295151802500361</v>
      </c>
      <c r="C27" s="11">
        <f t="shared" si="6"/>
        <v>4.8116354167149585E-4</v>
      </c>
      <c r="D27" s="8"/>
      <c r="E27" s="8" t="s">
        <v>56</v>
      </c>
      <c r="F27" s="16">
        <f>SUM(C24:C33)*1000</f>
        <v>96.948243941076043</v>
      </c>
      <c r="H27" s="10">
        <f t="shared" si="7"/>
        <v>0.88913803928603463</v>
      </c>
      <c r="I27" s="11">
        <f t="shared" si="8"/>
        <v>-1.219289469659901</v>
      </c>
      <c r="J27" s="11">
        <f t="shared" si="9"/>
        <v>1.8786816968541311E-3</v>
      </c>
      <c r="K27" s="8"/>
      <c r="L27" s="8" t="s">
        <v>56</v>
      </c>
      <c r="M27" s="16">
        <f>SUM(J24:J32)*1000</f>
        <v>116.57589583259629</v>
      </c>
    </row>
    <row r="28" spans="1:13" x14ac:dyDescent="0.3">
      <c r="A28" s="10">
        <f t="shared" si="5"/>
        <v>0.84244072405880854</v>
      </c>
      <c r="B28" s="11">
        <f>$F$23+$F$24/(1-$F$25*A28)</f>
        <v>-1.436616168526113</v>
      </c>
      <c r="C28" s="11">
        <f>(B28-H6)^2</f>
        <v>8.3158644479984483E-3</v>
      </c>
      <c r="D28" s="8"/>
      <c r="E28" s="8"/>
      <c r="F28" s="9"/>
      <c r="H28" s="10">
        <f t="shared" si="7"/>
        <v>0.84244072405880854</v>
      </c>
      <c r="I28" s="11">
        <f t="shared" si="8"/>
        <v>-1.2327425285642475</v>
      </c>
      <c r="J28" s="11">
        <f t="shared" si="9"/>
        <v>9.0591531681583209E-3</v>
      </c>
      <c r="K28" s="8"/>
      <c r="L28" s="8"/>
      <c r="M28" s="9"/>
    </row>
    <row r="29" spans="1:13" x14ac:dyDescent="0.3">
      <c r="A29" s="10">
        <f t="shared" si="5"/>
        <v>0.78092011974161024</v>
      </c>
      <c r="B29" s="11">
        <f>$F$23+$F$24/(1-$F$25*A29)</f>
        <v>-1.4472512598658496</v>
      </c>
      <c r="C29" s="11">
        <f t="shared" si="6"/>
        <v>1.5347650933858396E-2</v>
      </c>
      <c r="D29" s="8"/>
      <c r="E29" s="8"/>
      <c r="F29" s="9"/>
      <c r="H29" s="10">
        <f t="shared" si="7"/>
        <v>0.78092011974161024</v>
      </c>
      <c r="I29" s="11">
        <f t="shared" si="8"/>
        <v>-1.2505288700994468</v>
      </c>
      <c r="J29" s="11">
        <f t="shared" si="9"/>
        <v>1.7302790854719991E-2</v>
      </c>
      <c r="K29" s="8"/>
      <c r="L29" s="8"/>
      <c r="M29" s="9"/>
    </row>
    <row r="30" spans="1:13" x14ac:dyDescent="0.3">
      <c r="A30" s="10">
        <f t="shared" si="5"/>
        <v>0.72478381378407308</v>
      </c>
      <c r="B30" s="11">
        <f>$F$23+$F$24/(1-$F$25*A30)</f>
        <v>-1.4585094627362674</v>
      </c>
      <c r="C30" s="11">
        <f t="shared" si="6"/>
        <v>7.1734519563984651E-5</v>
      </c>
      <c r="D30" s="8"/>
      <c r="E30" s="8"/>
      <c r="F30" s="9"/>
      <c r="H30" s="10">
        <f t="shared" si="7"/>
        <v>0.69618652995294616</v>
      </c>
      <c r="I30" s="11">
        <f t="shared" si="8"/>
        <v>-1.2751440609336901</v>
      </c>
      <c r="J30" s="11">
        <f t="shared" si="9"/>
        <v>1.6485738759129794E-2</v>
      </c>
      <c r="K30" s="8"/>
      <c r="L30" s="8"/>
      <c r="M30" s="9"/>
    </row>
    <row r="31" spans="1:13" x14ac:dyDescent="0.3">
      <c r="A31" s="10">
        <f t="shared" si="5"/>
        <v>0.69618652995294616</v>
      </c>
      <c r="B31" s="11">
        <f>$F$23+$F$24/(1-$F$25*A31)</f>
        <v>-1.4649328368855301</v>
      </c>
      <c r="C31" s="11">
        <f t="shared" si="6"/>
        <v>1.4806035554925431E-2</v>
      </c>
      <c r="D31" s="8"/>
      <c r="E31" s="8"/>
      <c r="F31" s="9"/>
      <c r="H31" s="10">
        <f t="shared" si="7"/>
        <v>0.57204685786831322</v>
      </c>
      <c r="I31" s="11">
        <f t="shared" si="8"/>
        <v>-1.3114552161971398</v>
      </c>
      <c r="J31" s="11">
        <f t="shared" si="9"/>
        <v>2.1787375579756644E-3</v>
      </c>
      <c r="K31" s="8"/>
      <c r="L31" s="8"/>
      <c r="M31" s="9"/>
    </row>
    <row r="32" spans="1:13" x14ac:dyDescent="0.3">
      <c r="A32" s="10">
        <f t="shared" si="5"/>
        <v>0.57204685786831322</v>
      </c>
      <c r="B32" s="11">
        <f>$F$23+$F$24/(1-$F$25*A32)</f>
        <v>-1.5001334849698051</v>
      </c>
      <c r="C32" s="11">
        <f t="shared" si="6"/>
        <v>5.4257937789836275E-3</v>
      </c>
      <c r="D32" s="8"/>
      <c r="E32" s="8"/>
      <c r="F32" s="9"/>
      <c r="H32" s="10">
        <f t="shared" si="7"/>
        <v>0.37268318357832997</v>
      </c>
      <c r="I32" s="11">
        <f t="shared" si="8"/>
        <v>-1.3703959478111249</v>
      </c>
      <c r="J32" s="11">
        <f t="shared" si="9"/>
        <v>2.399460434717467E-2</v>
      </c>
      <c r="K32" s="8"/>
      <c r="L32" s="8"/>
      <c r="M32" s="9"/>
    </row>
    <row r="33" spans="1:13" x14ac:dyDescent="0.3">
      <c r="A33" s="10">
        <f t="shared" si="5"/>
        <v>0.37268318357832997</v>
      </c>
      <c r="B33" s="11">
        <f>$F$23+$F$24/(1-$F$25*A33)</f>
        <v>-1.6044531408708733</v>
      </c>
      <c r="C33" s="11">
        <f t="shared" si="6"/>
        <v>8.1799050862158499E-3</v>
      </c>
      <c r="D33" s="8"/>
      <c r="E33" s="8"/>
      <c r="F33" s="9"/>
      <c r="H33" s="10"/>
      <c r="I33" s="11"/>
      <c r="J33" s="11"/>
      <c r="K33" s="8"/>
      <c r="L33" s="8"/>
      <c r="M33" s="9"/>
    </row>
    <row r="34" spans="1:13" x14ac:dyDescent="0.3">
      <c r="A34" s="10"/>
      <c r="B34" s="8"/>
      <c r="C34" s="8"/>
      <c r="D34" s="8"/>
      <c r="E34" s="8"/>
      <c r="F34" s="9"/>
      <c r="H34" s="10"/>
      <c r="I34" s="8"/>
      <c r="J34" s="8"/>
      <c r="K34" s="8"/>
      <c r="L34" s="8"/>
      <c r="M34" s="9"/>
    </row>
    <row r="35" spans="1:13" x14ac:dyDescent="0.3">
      <c r="A35" s="7" t="s">
        <v>4</v>
      </c>
      <c r="B35" s="8" t="s">
        <v>54</v>
      </c>
      <c r="C35" s="8"/>
      <c r="D35" s="8"/>
      <c r="E35" s="8"/>
      <c r="F35" s="9"/>
      <c r="H35" s="7" t="s">
        <v>4</v>
      </c>
      <c r="I35" s="8" t="s">
        <v>54</v>
      </c>
      <c r="J35" s="8"/>
      <c r="K35" s="8"/>
      <c r="L35" s="8"/>
      <c r="M35" s="9"/>
    </row>
    <row r="36" spans="1:13" x14ac:dyDescent="0.3">
      <c r="A36" s="10">
        <v>0</v>
      </c>
      <c r="B36" s="11">
        <f>$F$23+$F$24/(1-$F$25*(1-A36))</f>
        <v>-1.4152869051335133</v>
      </c>
      <c r="C36" s="8"/>
      <c r="D36" s="8"/>
      <c r="E36" s="8"/>
      <c r="F36" s="9"/>
      <c r="H36" s="10">
        <v>0</v>
      </c>
      <c r="I36" s="11">
        <f>$M$23+$M$24/(1-$M$25*(1-H36))</f>
        <v>-1.1875148524145134</v>
      </c>
      <c r="J36" s="8"/>
      <c r="K36" s="8"/>
      <c r="L36" s="8"/>
      <c r="M36" s="9"/>
    </row>
    <row r="37" spans="1:13" x14ac:dyDescent="0.3">
      <c r="A37" s="10">
        <v>0.05</v>
      </c>
      <c r="B37" s="11">
        <f t="shared" ref="B37:B56" si="10">$F$23+$F$24/(1-$F$25*(1-A37))</f>
        <v>-1.4212971870249824</v>
      </c>
      <c r="C37" s="8"/>
      <c r="D37" s="8"/>
      <c r="E37" s="8"/>
      <c r="F37" s="9"/>
      <c r="H37" s="10">
        <v>0.05</v>
      </c>
      <c r="I37" s="11">
        <f t="shared" ref="I37:I56" si="11">$M$23+$M$24/(1-$M$25*(1-H37))</f>
        <v>-1.2018171497734178</v>
      </c>
      <c r="J37" s="8"/>
      <c r="K37" s="8"/>
      <c r="L37" s="8"/>
      <c r="M37" s="9"/>
    </row>
    <row r="38" spans="1:13" x14ac:dyDescent="0.3">
      <c r="A38" s="10">
        <v>0.1</v>
      </c>
      <c r="B38" s="11">
        <f t="shared" si="10"/>
        <v>-1.4279679394539757</v>
      </c>
      <c r="C38" s="8"/>
      <c r="D38" s="8"/>
      <c r="E38" s="8"/>
      <c r="F38" s="9"/>
      <c r="H38" s="10">
        <v>0.1</v>
      </c>
      <c r="I38" s="11">
        <f t="shared" si="11"/>
        <v>-1.2161661180800989</v>
      </c>
      <c r="J38" s="8"/>
      <c r="K38" s="8"/>
      <c r="L38" s="8"/>
      <c r="M38" s="9"/>
    </row>
    <row r="39" spans="1:13" x14ac:dyDescent="0.3">
      <c r="A39" s="10">
        <v>0.15</v>
      </c>
      <c r="B39" s="11">
        <f t="shared" si="10"/>
        <v>-1.4354143607700611</v>
      </c>
      <c r="C39" s="8"/>
      <c r="D39" s="8"/>
      <c r="E39" s="8"/>
      <c r="F39" s="9"/>
      <c r="H39" s="10">
        <v>0.15</v>
      </c>
      <c r="I39" s="11">
        <f t="shared" si="11"/>
        <v>-1.2305619861513337</v>
      </c>
      <c r="J39" s="8"/>
      <c r="K39" s="8"/>
      <c r="L39" s="8"/>
      <c r="M39" s="9"/>
    </row>
    <row r="40" spans="1:13" x14ac:dyDescent="0.3">
      <c r="A40" s="10">
        <v>0.2</v>
      </c>
      <c r="B40" s="11">
        <f t="shared" si="10"/>
        <v>-1.4437800933597373</v>
      </c>
      <c r="C40" s="8"/>
      <c r="D40" s="8"/>
      <c r="E40" s="8"/>
      <c r="F40" s="9"/>
      <c r="H40" s="10">
        <v>0.2</v>
      </c>
      <c r="I40" s="11">
        <f t="shared" si="11"/>
        <v>-1.245004984302132</v>
      </c>
      <c r="J40" s="8"/>
      <c r="K40" s="8"/>
      <c r="L40" s="8"/>
      <c r="M40" s="9"/>
    </row>
    <row r="41" spans="1:13" x14ac:dyDescent="0.3">
      <c r="A41" s="10">
        <v>0.25</v>
      </c>
      <c r="B41" s="11">
        <f t="shared" si="10"/>
        <v>-1.4532465802375287</v>
      </c>
      <c r="C41" s="8"/>
      <c r="D41" s="8"/>
      <c r="E41" s="8"/>
      <c r="F41" s="9"/>
      <c r="H41" s="10">
        <v>0.25</v>
      </c>
      <c r="I41" s="11">
        <f t="shared" si="11"/>
        <v>-1.259495344358009</v>
      </c>
      <c r="J41" s="8"/>
      <c r="K41" s="8"/>
      <c r="L41" s="8"/>
      <c r="M41" s="9"/>
    </row>
    <row r="42" spans="1:13" x14ac:dyDescent="0.3">
      <c r="A42" s="10">
        <v>0.3</v>
      </c>
      <c r="B42" s="11">
        <f t="shared" si="10"/>
        <v>-1.4640463751262769</v>
      </c>
      <c r="C42" s="8"/>
      <c r="D42" s="8"/>
      <c r="E42" s="8"/>
      <c r="F42" s="9"/>
      <c r="H42" s="10">
        <v>0.3</v>
      </c>
      <c r="I42" s="11">
        <f t="shared" si="11"/>
        <v>-1.2740332996673986</v>
      </c>
      <c r="J42" s="8"/>
      <c r="K42" s="8"/>
      <c r="L42" s="8"/>
      <c r="M42" s="9"/>
    </row>
    <row r="43" spans="1:13" x14ac:dyDescent="0.3">
      <c r="A43" s="10">
        <v>0.35</v>
      </c>
      <c r="B43" s="11">
        <f t="shared" si="10"/>
        <v>-1.4764825025739261</v>
      </c>
      <c r="C43" s="8"/>
      <c r="D43" s="8"/>
      <c r="E43" s="8"/>
      <c r="F43" s="9"/>
      <c r="H43" s="10">
        <v>0.35</v>
      </c>
      <c r="I43" s="11">
        <f t="shared" si="11"/>
        <v>-1.2886190851141786</v>
      </c>
      <c r="J43" s="8"/>
      <c r="K43" s="8"/>
      <c r="L43" s="8"/>
      <c r="M43" s="9"/>
    </row>
    <row r="44" spans="1:13" x14ac:dyDescent="0.3">
      <c r="A44" s="10">
        <v>0.4</v>
      </c>
      <c r="B44" s="11">
        <f t="shared" si="10"/>
        <v>-1.4909573394392228</v>
      </c>
      <c r="C44" s="8"/>
      <c r="D44" s="8"/>
      <c r="E44" s="8"/>
      <c r="F44" s="9"/>
      <c r="H44" s="10">
        <v>0.4</v>
      </c>
      <c r="I44" s="11">
        <f t="shared" si="11"/>
        <v>-1.3032529371303125</v>
      </c>
      <c r="J44" s="8"/>
      <c r="K44" s="8"/>
      <c r="L44" s="8"/>
      <c r="M44" s="9"/>
    </row>
    <row r="45" spans="1:13" x14ac:dyDescent="0.3">
      <c r="A45" s="10">
        <v>0.45</v>
      </c>
      <c r="B45" s="11">
        <f t="shared" si="10"/>
        <v>-1.508016968601894</v>
      </c>
      <c r="C45" s="8"/>
      <c r="D45" s="8"/>
      <c r="E45" s="8"/>
      <c r="F45" s="9"/>
      <c r="H45" s="10">
        <v>0.45</v>
      </c>
      <c r="I45" s="11">
        <f t="shared" si="11"/>
        <v>-1.3179350937086314</v>
      </c>
      <c r="J45" s="8"/>
      <c r="K45" s="8"/>
      <c r="L45" s="8"/>
      <c r="M45" s="9"/>
    </row>
    <row r="46" spans="1:13" x14ac:dyDescent="0.3">
      <c r="A46" s="10">
        <v>0.5</v>
      </c>
      <c r="B46" s="11">
        <f t="shared" si="10"/>
        <v>-1.5284216230905789</v>
      </c>
      <c r="C46" s="8"/>
      <c r="D46" s="8"/>
      <c r="E46" s="8"/>
      <c r="F46" s="9"/>
      <c r="H46" s="10">
        <v>0.5</v>
      </c>
      <c r="I46" s="11">
        <f t="shared" si="11"/>
        <v>-1.3326657944157363</v>
      </c>
      <c r="J46" s="8"/>
      <c r="K46" s="8"/>
      <c r="L46" s="8"/>
      <c r="M46" s="9"/>
    </row>
    <row r="47" spans="1:13" x14ac:dyDescent="0.3">
      <c r="A47" s="10">
        <v>0.55000000000000004</v>
      </c>
      <c r="B47" s="11">
        <f t="shared" si="10"/>
        <v>-1.5532620720333261</v>
      </c>
      <c r="C47" s="8"/>
      <c r="D47" s="8"/>
      <c r="E47" s="8"/>
      <c r="F47" s="9"/>
      <c r="H47" s="10">
        <v>0.55000000000000004</v>
      </c>
      <c r="I47" s="11">
        <f t="shared" si="11"/>
        <v>-1.347445280405025</v>
      </c>
      <c r="J47" s="8"/>
      <c r="K47" s="8"/>
      <c r="L47" s="8"/>
      <c r="M47" s="9"/>
    </row>
    <row r="48" spans="1:13" x14ac:dyDescent="0.3">
      <c r="A48" s="10">
        <v>0.6</v>
      </c>
      <c r="B48" s="11">
        <f t="shared" si="10"/>
        <v>-1.58416116705967</v>
      </c>
      <c r="C48" s="8"/>
      <c r="D48" s="8"/>
      <c r="E48" s="8"/>
      <c r="F48" s="9"/>
      <c r="H48" s="10">
        <v>0.6</v>
      </c>
      <c r="I48" s="11">
        <f t="shared" si="11"/>
        <v>-1.3622737944298509</v>
      </c>
      <c r="J48" s="8"/>
      <c r="K48" s="8"/>
      <c r="L48" s="8"/>
      <c r="M48" s="9"/>
    </row>
    <row r="49" spans="1:13" x14ac:dyDescent="0.3">
      <c r="A49" s="10">
        <v>0.65</v>
      </c>
      <c r="B49" s="11">
        <f t="shared" si="10"/>
        <v>-1.623643344037776</v>
      </c>
      <c r="C49" s="8"/>
      <c r="D49" s="8"/>
      <c r="E49" s="8"/>
      <c r="F49" s="9"/>
      <c r="H49" s="10">
        <v>0.65</v>
      </c>
      <c r="I49" s="11">
        <f t="shared" si="11"/>
        <v>-1.3771515808568244</v>
      </c>
      <c r="J49" s="8"/>
      <c r="K49" s="8"/>
      <c r="L49" s="8"/>
      <c r="M49" s="9"/>
    </row>
    <row r="50" spans="1:13" x14ac:dyDescent="0.3">
      <c r="A50" s="10">
        <v>0.7</v>
      </c>
      <c r="B50" s="11">
        <f t="shared" si="10"/>
        <v>-1.6758617071378517</v>
      </c>
      <c r="C50" s="8"/>
      <c r="D50" s="8"/>
      <c r="E50" s="8"/>
      <c r="F50" s="9"/>
      <c r="H50" s="10">
        <v>0.7</v>
      </c>
      <c r="I50" s="11">
        <f t="shared" si="11"/>
        <v>-1.3920788856792177</v>
      </c>
      <c r="J50" s="8"/>
      <c r="K50" s="8"/>
      <c r="L50" s="8"/>
      <c r="M50" s="9"/>
    </row>
    <row r="51" spans="1:13" x14ac:dyDescent="0.3">
      <c r="A51" s="10">
        <v>0.75</v>
      </c>
      <c r="B51" s="11">
        <f t="shared" si="10"/>
        <v>-1.7481640560456491</v>
      </c>
      <c r="C51" s="8"/>
      <c r="D51" s="8"/>
      <c r="E51" s="8"/>
      <c r="F51" s="9"/>
      <c r="H51" s="10">
        <v>0.75</v>
      </c>
      <c r="I51" s="11">
        <f t="shared" si="11"/>
        <v>-1.4070559565305425</v>
      </c>
      <c r="J51" s="8"/>
      <c r="K51" s="8"/>
      <c r="L51" s="8"/>
      <c r="M51" s="9"/>
    </row>
    <row r="52" spans="1:13" x14ac:dyDescent="0.3">
      <c r="A52" s="10">
        <v>0.8</v>
      </c>
      <c r="B52" s="11">
        <f t="shared" si="10"/>
        <v>-1.8548960949095401</v>
      </c>
      <c r="C52" s="8"/>
      <c r="D52" s="8"/>
      <c r="E52" s="8"/>
      <c r="F52" s="9"/>
      <c r="H52" s="10">
        <v>0.8</v>
      </c>
      <c r="I52" s="11">
        <f t="shared" si="11"/>
        <v>-1.4220830426982252</v>
      </c>
      <c r="J52" s="8"/>
      <c r="K52" s="8"/>
      <c r="L52" s="8"/>
      <c r="M52" s="9"/>
    </row>
    <row r="53" spans="1:13" x14ac:dyDescent="0.3">
      <c r="A53" s="10">
        <v>0.85</v>
      </c>
      <c r="B53" s="11">
        <f t="shared" si="10"/>
        <v>-2.0283356580633631</v>
      </c>
      <c r="C53" s="8"/>
      <c r="D53" s="8"/>
      <c r="E53" s="8"/>
      <c r="F53" s="9"/>
      <c r="H53" s="10">
        <v>0.85</v>
      </c>
      <c r="I53" s="11">
        <f t="shared" si="11"/>
        <v>-1.4371603951374547</v>
      </c>
      <c r="J53" s="8"/>
      <c r="K53" s="8"/>
      <c r="L53" s="8"/>
      <c r="M53" s="9"/>
    </row>
    <row r="54" spans="1:13" x14ac:dyDescent="0.3">
      <c r="A54" s="10">
        <v>0.9</v>
      </c>
      <c r="B54" s="11">
        <f t="shared" si="10"/>
        <v>-2.3594475513570252</v>
      </c>
      <c r="C54" s="8"/>
      <c r="D54" s="8"/>
      <c r="E54" s="8"/>
      <c r="F54" s="9"/>
      <c r="H54" s="10">
        <v>0.9</v>
      </c>
      <c r="I54" s="11">
        <f t="shared" si="11"/>
        <v>-1.4522882664851418</v>
      </c>
      <c r="J54" s="8"/>
      <c r="K54" s="8"/>
      <c r="L54" s="8"/>
      <c r="M54" s="9"/>
    </row>
    <row r="55" spans="1:13" x14ac:dyDescent="0.3">
      <c r="A55" s="10">
        <v>0.95</v>
      </c>
      <c r="B55" s="11">
        <f t="shared" si="10"/>
        <v>-3.2424126001401228</v>
      </c>
      <c r="C55" s="8"/>
      <c r="D55" s="8"/>
      <c r="E55" s="8"/>
      <c r="F55" s="9"/>
      <c r="H55" s="10">
        <v>0.95</v>
      </c>
      <c r="I55" s="11">
        <f t="shared" si="11"/>
        <v>-1.4674669110740348</v>
      </c>
      <c r="J55" s="8"/>
      <c r="K55" s="8"/>
      <c r="L55" s="8"/>
      <c r="M55" s="9"/>
    </row>
    <row r="56" spans="1:13" ht="15.6" thickBot="1" x14ac:dyDescent="0.35">
      <c r="A56" s="12">
        <v>1</v>
      </c>
      <c r="B56" s="13">
        <f t="shared" si="10"/>
        <v>-12.955028136754212</v>
      </c>
      <c r="C56" s="14"/>
      <c r="D56" s="14"/>
      <c r="E56" s="14"/>
      <c r="F56" s="15"/>
      <c r="H56" s="12">
        <v>1</v>
      </c>
      <c r="I56" s="13">
        <f t="shared" si="11"/>
        <v>-1.4826965849469724</v>
      </c>
      <c r="J56" s="14"/>
      <c r="K56" s="14"/>
      <c r="L56" s="14"/>
      <c r="M56" s="15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過剰混合ギブズエネルギー</vt:lpstr>
      <vt:lpstr>g12多項式近似</vt:lpstr>
      <vt:lpstr>g12Wei方式近似</vt:lpstr>
    </vt:vector>
  </TitlesOfParts>
  <Company>旭化成グループ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崇文 平松</cp:lastModifiedBy>
  <dcterms:created xsi:type="dcterms:W3CDTF">2023-12-05T04:32:54Z</dcterms:created>
  <dcterms:modified xsi:type="dcterms:W3CDTF">2023-12-06T13:33:02Z</dcterms:modified>
</cp:coreProperties>
</file>