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247A85D4-3E38-4509-805D-F3F3936239FB}" xr6:coauthVersionLast="45" xr6:coauthVersionMax="47" xr10:uidLastSave="{00000000-0000-0000-0000-000000000000}"/>
  <bookViews>
    <workbookView xWindow="0" yWindow="0" windowWidth="23040" windowHeight="12960" firstSheet="1" activeTab="4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0" r:id="rId4"/>
    <sheet name="URS確認" sheetId="5" r:id="rId5"/>
    <sheet name="取消交易" sheetId="6" r:id="rId6"/>
    <sheet name="討論項目" sheetId="7" r:id="rId7"/>
    <sheet name="工作表2" sheetId="8" r:id="rId8"/>
    <sheet name="後續討論" sheetId="10" r:id="rId9"/>
    <sheet name="待辦事項" sheetId="11" r:id="rId10"/>
    <sheet name="L_tmp" sheetId="12" r:id="rId11"/>
    <sheet name="上線注意事項" sheetId="13" r:id="rId12"/>
    <sheet name="追蹤議題備註" sheetId="14" r:id="rId13"/>
    <sheet name="備註" sheetId="15" r:id="rId14"/>
    <sheet name="SKL放款" sheetId="16" state="hidden" r:id="rId15"/>
    <sheet name="URS確認tmp" sheetId="17" state="hidden" r:id="rId16"/>
    <sheet name="討論項目tmp" sheetId="18" state="hidden" r:id="rId17"/>
    <sheet name="待辦事項tmp" sheetId="19" state="hidden" r:id="rId18"/>
    <sheet name="EricOK_20211105" sheetId="20" r:id="rId19"/>
    <sheet name="討論待辦tmp" sheetId="21" r:id="rId20"/>
    <sheet name="Menu" sheetId="22" r:id="rId21"/>
    <sheet name="L4_tmp" sheetId="23" r:id="rId22"/>
    <sheet name="工作表1" sheetId="24" r:id="rId23"/>
    <sheet name="20211105匯出" sheetId="25" r:id="rId24"/>
    <sheet name="統計表 (2)" sheetId="26" state="hidden" r:id="rId25"/>
    <sheet name="下週會議" sheetId="27" state="hidden" r:id="rId26"/>
    <sheet name="會議回覆追蹤tmp" sheetId="28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7" hidden="1">工作表2!$A$1:$H$261</definedName>
    <definedName name="_xlnm._FilterDatabase" localSheetId="9" hidden="1">待辦事項!$A$1:$H$84</definedName>
    <definedName name="_xlnm._FilterDatabase" localSheetId="6" hidden="1">討論項目!$A$1:$Q$542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0" r:id="rId35"/>
    <pivotCache cacheId="1" r:id="rId36"/>
    <pivotCache cacheId="2" r:id="rId37"/>
    <pivotCache cacheId="3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38" i="7" l="1"/>
  <c r="B538" i="7"/>
  <c r="I537" i="7"/>
  <c r="B537" i="7"/>
  <c r="B535" i="7"/>
  <c r="I530" i="7"/>
  <c r="I531" i="7"/>
  <c r="I532" i="7"/>
  <c r="I533" i="7"/>
  <c r="I534" i="7"/>
  <c r="I535" i="7"/>
  <c r="B530" i="7"/>
  <c r="B531" i="7"/>
  <c r="B532" i="7"/>
  <c r="B533" i="7"/>
  <c r="B534" i="7"/>
  <c r="I526" i="7"/>
  <c r="I527" i="7"/>
  <c r="I528" i="7"/>
  <c r="I529" i="7"/>
  <c r="B528" i="7"/>
  <c r="B529" i="7"/>
  <c r="B526" i="7"/>
  <c r="B527" i="7"/>
  <c r="I509" i="7"/>
  <c r="I510" i="7"/>
  <c r="I511" i="7"/>
  <c r="I512" i="7"/>
  <c r="I513" i="7"/>
  <c r="I520" i="7"/>
  <c r="I521" i="7"/>
  <c r="I522" i="7"/>
  <c r="I523" i="7"/>
  <c r="I524" i="7"/>
  <c r="I525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AN506" i="5"/>
  <c r="AN507" i="5"/>
  <c r="AN508" i="5"/>
  <c r="AN509" i="5"/>
  <c r="AN510" i="5"/>
  <c r="AN511" i="5"/>
  <c r="AN512" i="5"/>
  <c r="AN513" i="5"/>
  <c r="AN514" i="5"/>
  <c r="AN515" i="5"/>
  <c r="AN516" i="5"/>
  <c r="AN517" i="5"/>
  <c r="AN518" i="5"/>
  <c r="AN519" i="5"/>
  <c r="AN520" i="5"/>
  <c r="AN521" i="5"/>
  <c r="AN522" i="5"/>
  <c r="AN523" i="5"/>
  <c r="AN2" i="5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3" i="8"/>
  <c r="AG206" i="5" l="1"/>
  <c r="Y206" i="5"/>
  <c r="X206" i="5"/>
  <c r="M206" i="5"/>
  <c r="B206" i="5"/>
  <c r="B242" i="5"/>
  <c r="AG242" i="5"/>
  <c r="Y242" i="5"/>
  <c r="X242" i="5"/>
  <c r="M242" i="5"/>
  <c r="B14" i="2"/>
  <c r="B64" i="3"/>
  <c r="C64" i="3"/>
  <c r="D64" i="3"/>
  <c r="E64" i="3"/>
  <c r="B75" i="5"/>
  <c r="X75" i="5"/>
  <c r="Y75" i="5"/>
  <c r="AG75" i="5"/>
  <c r="B74" i="5"/>
  <c r="M74" i="5"/>
  <c r="X74" i="5"/>
  <c r="Y74" i="5"/>
  <c r="AG74" i="5"/>
  <c r="I64" i="3" l="1"/>
  <c r="J64" i="3"/>
  <c r="B523" i="5"/>
  <c r="M523" i="5"/>
  <c r="X523" i="5"/>
  <c r="Y523" i="5"/>
  <c r="AG523" i="5"/>
  <c r="AL523" i="5"/>
  <c r="AM523" i="5"/>
  <c r="N510" i="5"/>
  <c r="N509" i="5"/>
  <c r="N514" i="5"/>
  <c r="O514" i="5"/>
  <c r="N515" i="5"/>
  <c r="O515" i="5"/>
  <c r="N516" i="5"/>
  <c r="O516" i="5"/>
  <c r="N517" i="5"/>
  <c r="O517" i="5"/>
  <c r="N518" i="5"/>
  <c r="O518" i="5"/>
  <c r="N519" i="5"/>
  <c r="O519" i="5"/>
  <c r="N520" i="5"/>
  <c r="O520" i="5"/>
  <c r="N521" i="5"/>
  <c r="O521" i="5"/>
  <c r="N522" i="5"/>
  <c r="O522" i="5"/>
  <c r="N512" i="5"/>
  <c r="N513" i="5"/>
  <c r="B515" i="5" l="1"/>
  <c r="B516" i="5"/>
  <c r="B517" i="5"/>
  <c r="B518" i="5"/>
  <c r="B519" i="5"/>
  <c r="B520" i="5"/>
  <c r="B521" i="5"/>
  <c r="B522" i="5"/>
  <c r="B512" i="5"/>
  <c r="B513" i="5"/>
  <c r="M515" i="5"/>
  <c r="M516" i="5"/>
  <c r="M517" i="5"/>
  <c r="M518" i="5"/>
  <c r="M519" i="5"/>
  <c r="M520" i="5"/>
  <c r="M521" i="5"/>
  <c r="M522" i="5"/>
  <c r="M512" i="5"/>
  <c r="M513" i="5"/>
  <c r="X515" i="5"/>
  <c r="X516" i="5"/>
  <c r="X517" i="5"/>
  <c r="X518" i="5"/>
  <c r="X519" i="5"/>
  <c r="X520" i="5"/>
  <c r="X521" i="5"/>
  <c r="X522" i="5"/>
  <c r="X512" i="5"/>
  <c r="X513" i="5"/>
  <c r="Y515" i="5"/>
  <c r="Y516" i="5"/>
  <c r="Y517" i="5"/>
  <c r="Y518" i="5"/>
  <c r="Y519" i="5"/>
  <c r="Y520" i="5"/>
  <c r="Y521" i="5"/>
  <c r="Y522" i="5"/>
  <c r="Y512" i="5"/>
  <c r="Y513" i="5"/>
  <c r="AG515" i="5"/>
  <c r="AG516" i="5"/>
  <c r="AG517" i="5"/>
  <c r="AG518" i="5"/>
  <c r="AG519" i="5"/>
  <c r="AG520" i="5"/>
  <c r="AG521" i="5"/>
  <c r="AG522" i="5"/>
  <c r="AG512" i="5"/>
  <c r="AG513" i="5"/>
  <c r="B514" i="5"/>
  <c r="M514" i="5"/>
  <c r="X514" i="5"/>
  <c r="Y514" i="5"/>
  <c r="AG514" i="5"/>
  <c r="A1" i="27"/>
  <c r="E73" i="26"/>
  <c r="D73" i="26"/>
  <c r="C73" i="26"/>
  <c r="B73" i="26"/>
  <c r="E72" i="26"/>
  <c r="D72" i="26"/>
  <c r="C72" i="26"/>
  <c r="B72" i="26"/>
  <c r="E71" i="26"/>
  <c r="D71" i="26"/>
  <c r="C71" i="26"/>
  <c r="B71" i="26"/>
  <c r="E70" i="26"/>
  <c r="D70" i="26"/>
  <c r="C70" i="26"/>
  <c r="B70" i="26"/>
  <c r="E69" i="26"/>
  <c r="D69" i="26"/>
  <c r="C69" i="26"/>
  <c r="B69" i="26"/>
  <c r="E68" i="26"/>
  <c r="D68" i="26"/>
  <c r="C68" i="26"/>
  <c r="B68" i="26"/>
  <c r="E67" i="26"/>
  <c r="D67" i="26"/>
  <c r="C67" i="26"/>
  <c r="B67" i="26"/>
  <c r="E66" i="26"/>
  <c r="D66" i="26"/>
  <c r="C66" i="26"/>
  <c r="B66" i="26"/>
  <c r="E65" i="26"/>
  <c r="D65" i="26"/>
  <c r="C65" i="26"/>
  <c r="B65" i="26"/>
  <c r="E64" i="26"/>
  <c r="D64" i="26"/>
  <c r="C64" i="26"/>
  <c r="B64" i="26"/>
  <c r="E63" i="26"/>
  <c r="D63" i="26"/>
  <c r="C63" i="26"/>
  <c r="B63" i="26"/>
  <c r="E62" i="26"/>
  <c r="D62" i="26"/>
  <c r="C62" i="26"/>
  <c r="B62" i="26"/>
  <c r="E61" i="26"/>
  <c r="D61" i="26"/>
  <c r="C61" i="26"/>
  <c r="B61" i="26"/>
  <c r="E60" i="26"/>
  <c r="D60" i="26"/>
  <c r="C60" i="26"/>
  <c r="B60" i="26"/>
  <c r="E56" i="26"/>
  <c r="D56" i="26"/>
  <c r="C56" i="26"/>
  <c r="B56" i="26"/>
  <c r="E55" i="26"/>
  <c r="D55" i="26"/>
  <c r="C55" i="26"/>
  <c r="B55" i="26"/>
  <c r="E54" i="26"/>
  <c r="D54" i="26"/>
  <c r="C54" i="26"/>
  <c r="B54" i="26"/>
  <c r="E53" i="26"/>
  <c r="D53" i="26"/>
  <c r="C53" i="26"/>
  <c r="B53" i="26"/>
  <c r="E52" i="26"/>
  <c r="D52" i="26"/>
  <c r="C52" i="26"/>
  <c r="B52" i="26"/>
  <c r="E51" i="26"/>
  <c r="D51" i="26"/>
  <c r="C51" i="26"/>
  <c r="B51" i="26"/>
  <c r="E50" i="26"/>
  <c r="D50" i="26"/>
  <c r="C50" i="26"/>
  <c r="B50" i="26"/>
  <c r="E49" i="26"/>
  <c r="D49" i="26"/>
  <c r="C49" i="26"/>
  <c r="B49" i="26"/>
  <c r="E48" i="26"/>
  <c r="D48" i="26"/>
  <c r="C48" i="26"/>
  <c r="B48" i="26"/>
  <c r="E47" i="26"/>
  <c r="D47" i="26"/>
  <c r="C47" i="26"/>
  <c r="B47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G21" i="26"/>
  <c r="D21" i="26"/>
  <c r="B21" i="26"/>
  <c r="G20" i="26"/>
  <c r="D20" i="26"/>
  <c r="B20" i="26"/>
  <c r="G19" i="26"/>
  <c r="D19" i="26"/>
  <c r="B19" i="26"/>
  <c r="G18" i="26"/>
  <c r="D18" i="26"/>
  <c r="B18" i="26"/>
  <c r="G17" i="26"/>
  <c r="D17" i="26"/>
  <c r="B17" i="26"/>
  <c r="G16" i="26"/>
  <c r="D16" i="26"/>
  <c r="B16" i="26"/>
  <c r="G15" i="26"/>
  <c r="D15" i="26"/>
  <c r="B15" i="26"/>
  <c r="G14" i="26"/>
  <c r="D14" i="26"/>
  <c r="B14" i="26"/>
  <c r="G13" i="26"/>
  <c r="D13" i="26"/>
  <c r="B13" i="26"/>
  <c r="G12" i="26"/>
  <c r="D12" i="26"/>
  <c r="B12" i="26"/>
  <c r="G11" i="26"/>
  <c r="D11" i="26"/>
  <c r="B11" i="26"/>
  <c r="G10" i="26"/>
  <c r="D10" i="26"/>
  <c r="B10" i="26"/>
  <c r="G9" i="26"/>
  <c r="D9" i="26"/>
  <c r="B9" i="26"/>
  <c r="G8" i="26"/>
  <c r="D8" i="26"/>
  <c r="B8" i="26"/>
  <c r="G7" i="26"/>
  <c r="D7" i="26"/>
  <c r="B7" i="26"/>
  <c r="G6" i="26"/>
  <c r="D6" i="26"/>
  <c r="B6" i="26"/>
  <c r="G5" i="26"/>
  <c r="D5" i="26"/>
  <c r="B5" i="26"/>
  <c r="G4" i="26"/>
  <c r="D4" i="26"/>
  <c r="B4" i="26"/>
  <c r="G3" i="26"/>
  <c r="D3" i="26"/>
  <c r="B3" i="26"/>
  <c r="G2" i="26"/>
  <c r="D2" i="26"/>
  <c r="B2" i="26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C22" i="21"/>
  <c r="D22" i="21" s="1"/>
  <c r="B22" i="21"/>
  <c r="C21" i="21"/>
  <c r="D21" i="21" s="1"/>
  <c r="B21" i="21"/>
  <c r="C20" i="21"/>
  <c r="B20" i="21"/>
  <c r="D20" i="21" s="1"/>
  <c r="C19" i="21"/>
  <c r="D19" i="21" s="1"/>
  <c r="B19" i="21"/>
  <c r="C18" i="21"/>
  <c r="D18" i="21" s="1"/>
  <c r="B18" i="21"/>
  <c r="X17" i="21"/>
  <c r="C17" i="21"/>
  <c r="D17" i="21" s="1"/>
  <c r="B17" i="21"/>
  <c r="X16" i="21"/>
  <c r="C16" i="21"/>
  <c r="B16" i="21"/>
  <c r="X15" i="21"/>
  <c r="C15" i="21"/>
  <c r="B15" i="21"/>
  <c r="D15" i="21" s="1"/>
  <c r="X14" i="21"/>
  <c r="C14" i="21"/>
  <c r="D14" i="21" s="1"/>
  <c r="B14" i="21"/>
  <c r="X13" i="21"/>
  <c r="D13" i="21"/>
  <c r="C13" i="21"/>
  <c r="B13" i="21"/>
  <c r="X12" i="21"/>
  <c r="C12" i="21"/>
  <c r="D12" i="21" s="1"/>
  <c r="B12" i="21"/>
  <c r="X11" i="21"/>
  <c r="D11" i="21"/>
  <c r="C11" i="21"/>
  <c r="B11" i="21"/>
  <c r="X10" i="21"/>
  <c r="C10" i="21"/>
  <c r="B10" i="21"/>
  <c r="X9" i="21"/>
  <c r="C9" i="21"/>
  <c r="D9" i="21" s="1"/>
  <c r="B9" i="21"/>
  <c r="X8" i="21"/>
  <c r="C8" i="21"/>
  <c r="B8" i="21"/>
  <c r="X7" i="21"/>
  <c r="C7" i="21"/>
  <c r="B7" i="21"/>
  <c r="D7" i="21" s="1"/>
  <c r="X6" i="21"/>
  <c r="C6" i="21"/>
  <c r="D6" i="21" s="1"/>
  <c r="B6" i="21"/>
  <c r="X5" i="21"/>
  <c r="D5" i="21"/>
  <c r="C5" i="21"/>
  <c r="B5" i="21"/>
  <c r="W4" i="21"/>
  <c r="W3" i="21"/>
  <c r="B1" i="19"/>
  <c r="D27" i="17"/>
  <c r="E27" i="17" s="1"/>
  <c r="C27" i="17"/>
  <c r="B27" i="17"/>
  <c r="D26" i="17"/>
  <c r="C26" i="17"/>
  <c r="B26" i="17"/>
  <c r="D25" i="17"/>
  <c r="C25" i="17"/>
  <c r="B25" i="17"/>
  <c r="E25" i="17" s="1"/>
  <c r="D24" i="17"/>
  <c r="C24" i="17"/>
  <c r="B24" i="17"/>
  <c r="D23" i="17"/>
  <c r="C23" i="17"/>
  <c r="B23" i="17"/>
  <c r="E23" i="17" s="1"/>
  <c r="D22" i="17"/>
  <c r="E22" i="17" s="1"/>
  <c r="C22" i="17"/>
  <c r="B22" i="17"/>
  <c r="E21" i="17"/>
  <c r="D21" i="17"/>
  <c r="C21" i="17"/>
  <c r="B21" i="17"/>
  <c r="D20" i="17"/>
  <c r="E20" i="17" s="1"/>
  <c r="C20" i="17"/>
  <c r="B20" i="17"/>
  <c r="D19" i="17"/>
  <c r="E19" i="17" s="1"/>
  <c r="C19" i="17"/>
  <c r="B19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B12" i="17"/>
  <c r="A12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B11" i="17"/>
  <c r="A11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B10" i="17"/>
  <c r="A10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B9" i="17"/>
  <c r="A9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B8" i="17"/>
  <c r="A8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B7" i="17"/>
  <c r="A7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B6" i="17"/>
  <c r="A6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B5" i="17"/>
  <c r="A5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B4" i="17"/>
  <c r="A4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A3" i="17"/>
  <c r="BH2" i="17"/>
  <c r="BF2" i="17"/>
  <c r="BD2" i="17"/>
  <c r="BB2" i="17"/>
  <c r="AZ2" i="17"/>
  <c r="AX2" i="17"/>
  <c r="AV2" i="17"/>
  <c r="AT2" i="17"/>
  <c r="AR2" i="17"/>
  <c r="AP2" i="17"/>
  <c r="AN2" i="17"/>
  <c r="AL2" i="17"/>
  <c r="AJ2" i="17"/>
  <c r="AH2" i="17"/>
  <c r="AF2" i="17"/>
  <c r="AD2" i="17"/>
  <c r="AB2" i="17"/>
  <c r="Z2" i="17"/>
  <c r="X2" i="17"/>
  <c r="V2" i="17"/>
  <c r="T2" i="17"/>
  <c r="R2" i="17"/>
  <c r="P2" i="17"/>
  <c r="N2" i="17"/>
  <c r="L2" i="17"/>
  <c r="J2" i="17"/>
  <c r="H2" i="17"/>
  <c r="F1" i="17"/>
  <c r="C2" i="13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F3" i="8"/>
  <c r="D3" i="8"/>
  <c r="C3" i="8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G511" i="5"/>
  <c r="Y511" i="5"/>
  <c r="X511" i="5"/>
  <c r="M511" i="5"/>
  <c r="B511" i="5"/>
  <c r="AG510" i="5"/>
  <c r="Y510" i="5"/>
  <c r="X510" i="5"/>
  <c r="M510" i="5"/>
  <c r="B510" i="5"/>
  <c r="AG509" i="5"/>
  <c r="Y509" i="5"/>
  <c r="X509" i="5"/>
  <c r="M509" i="5"/>
  <c r="B509" i="5"/>
  <c r="AG508" i="5"/>
  <c r="Y508" i="5"/>
  <c r="X508" i="5"/>
  <c r="M508" i="5"/>
  <c r="B508" i="5"/>
  <c r="AG507" i="5"/>
  <c r="Y507" i="5"/>
  <c r="X507" i="5"/>
  <c r="M507" i="5"/>
  <c r="B507" i="5"/>
  <c r="AG506" i="5"/>
  <c r="Y506" i="5"/>
  <c r="X506" i="5"/>
  <c r="M506" i="5"/>
  <c r="B506" i="5"/>
  <c r="AG505" i="5"/>
  <c r="Y505" i="5"/>
  <c r="X505" i="5"/>
  <c r="M505" i="5"/>
  <c r="B505" i="5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AA396" i="5"/>
  <c r="Y396" i="5"/>
  <c r="X396" i="5"/>
  <c r="M396" i="5"/>
  <c r="B396" i="5"/>
  <c r="AG395" i="5"/>
  <c r="AA395" i="5"/>
  <c r="Y395" i="5"/>
  <c r="X395" i="5"/>
  <c r="M395" i="5"/>
  <c r="B395" i="5"/>
  <c r="AG394" i="5"/>
  <c r="AA394" i="5"/>
  <c r="Y394" i="5"/>
  <c r="X394" i="5"/>
  <c r="M394" i="5"/>
  <c r="B394" i="5"/>
  <c r="AG393" i="5"/>
  <c r="Y393" i="5"/>
  <c r="X393" i="5"/>
  <c r="M393" i="5"/>
  <c r="B393" i="5"/>
  <c r="AG392" i="5"/>
  <c r="Y392" i="5"/>
  <c r="X392" i="5"/>
  <c r="M392" i="5"/>
  <c r="B392" i="5"/>
  <c r="AG391" i="5"/>
  <c r="AA391" i="5"/>
  <c r="Y391" i="5"/>
  <c r="X391" i="5"/>
  <c r="M391" i="5"/>
  <c r="B391" i="5"/>
  <c r="AG390" i="5"/>
  <c r="AA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Y386" i="5"/>
  <c r="X386" i="5"/>
  <c r="M386" i="5"/>
  <c r="B386" i="5"/>
  <c r="AG385" i="5"/>
  <c r="AA385" i="5"/>
  <c r="Y385" i="5"/>
  <c r="X385" i="5"/>
  <c r="M385" i="5"/>
  <c r="B385" i="5"/>
  <c r="AG384" i="5"/>
  <c r="Y384" i="5"/>
  <c r="X384" i="5"/>
  <c r="M384" i="5"/>
  <c r="B384" i="5"/>
  <c r="AG383" i="5"/>
  <c r="Y383" i="5"/>
  <c r="X383" i="5"/>
  <c r="M383" i="5"/>
  <c r="B383" i="5"/>
  <c r="AG382" i="5"/>
  <c r="AA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Y372" i="5"/>
  <c r="X372" i="5"/>
  <c r="M372" i="5"/>
  <c r="B372" i="5"/>
  <c r="AG371" i="5"/>
  <c r="Y371" i="5"/>
  <c r="X371" i="5"/>
  <c r="M371" i="5"/>
  <c r="B371" i="5"/>
  <c r="AG370" i="5"/>
  <c r="Y370" i="5"/>
  <c r="X370" i="5"/>
  <c r="M370" i="5"/>
  <c r="B370" i="5"/>
  <c r="AG369" i="5"/>
  <c r="AA369" i="5"/>
  <c r="Y369" i="5"/>
  <c r="X369" i="5"/>
  <c r="M369" i="5"/>
  <c r="B369" i="5"/>
  <c r="AG368" i="5"/>
  <c r="Y368" i="5"/>
  <c r="X368" i="5"/>
  <c r="M368" i="5"/>
  <c r="B368" i="5"/>
  <c r="AG367" i="5"/>
  <c r="Y367" i="5"/>
  <c r="X367" i="5"/>
  <c r="M367" i="5"/>
  <c r="B367" i="5"/>
  <c r="AG366" i="5"/>
  <c r="AA366" i="5"/>
  <c r="Y366" i="5"/>
  <c r="X366" i="5"/>
  <c r="M366" i="5"/>
  <c r="B366" i="5"/>
  <c r="AG365" i="5"/>
  <c r="Y365" i="5"/>
  <c r="X365" i="5"/>
  <c r="M365" i="5"/>
  <c r="B365" i="5"/>
  <c r="AG364" i="5"/>
  <c r="AA364" i="5"/>
  <c r="Y364" i="5"/>
  <c r="X364" i="5"/>
  <c r="M364" i="5"/>
  <c r="B364" i="5"/>
  <c r="AG363" i="5"/>
  <c r="AA363" i="5"/>
  <c r="Y363" i="5"/>
  <c r="X363" i="5"/>
  <c r="M363" i="5"/>
  <c r="B363" i="5"/>
  <c r="AG362" i="5"/>
  <c r="AA362" i="5"/>
  <c r="Y362" i="5"/>
  <c r="X362" i="5"/>
  <c r="M362" i="5"/>
  <c r="B362" i="5"/>
  <c r="AG361" i="5"/>
  <c r="AA361" i="5"/>
  <c r="Y361" i="5"/>
  <c r="X361" i="5"/>
  <c r="M361" i="5"/>
  <c r="B361" i="5"/>
  <c r="AG360" i="5"/>
  <c r="Y360" i="5"/>
  <c r="X360" i="5"/>
  <c r="M360" i="5"/>
  <c r="B360" i="5"/>
  <c r="AG359" i="5"/>
  <c r="Y359" i="5"/>
  <c r="X359" i="5"/>
  <c r="M359" i="5"/>
  <c r="B359" i="5"/>
  <c r="AG358" i="5"/>
  <c r="AA358" i="5"/>
  <c r="Y358" i="5"/>
  <c r="X358" i="5"/>
  <c r="M358" i="5"/>
  <c r="B358" i="5"/>
  <c r="AG357" i="5"/>
  <c r="Y357" i="5"/>
  <c r="X357" i="5"/>
  <c r="M357" i="5"/>
  <c r="B357" i="5"/>
  <c r="AG356" i="5"/>
  <c r="AA356" i="5"/>
  <c r="Y356" i="5"/>
  <c r="X356" i="5"/>
  <c r="M356" i="5"/>
  <c r="B356" i="5"/>
  <c r="AG355" i="5"/>
  <c r="Y355" i="5"/>
  <c r="X355" i="5"/>
  <c r="M355" i="5"/>
  <c r="B355" i="5"/>
  <c r="AG354" i="5"/>
  <c r="Y354" i="5"/>
  <c r="X354" i="5"/>
  <c r="M354" i="5"/>
  <c r="B354" i="5"/>
  <c r="AG353" i="5"/>
  <c r="Y353" i="5"/>
  <c r="X353" i="5"/>
  <c r="M353" i="5"/>
  <c r="B353" i="5"/>
  <c r="AG352" i="5"/>
  <c r="AA352" i="5"/>
  <c r="Y352" i="5"/>
  <c r="X352" i="5"/>
  <c r="M352" i="5"/>
  <c r="B352" i="5"/>
  <c r="AG351" i="5"/>
  <c r="Y351" i="5"/>
  <c r="X351" i="5"/>
  <c r="M351" i="5"/>
  <c r="B351" i="5"/>
  <c r="AG350" i="5"/>
  <c r="Y350" i="5"/>
  <c r="X350" i="5"/>
  <c r="M350" i="5"/>
  <c r="B350" i="5"/>
  <c r="AG349" i="5"/>
  <c r="Y349" i="5"/>
  <c r="X349" i="5"/>
  <c r="M349" i="5"/>
  <c r="B349" i="5"/>
  <c r="AG348" i="5"/>
  <c r="AA348" i="5"/>
  <c r="Y348" i="5"/>
  <c r="X348" i="5"/>
  <c r="M348" i="5"/>
  <c r="B348" i="5"/>
  <c r="AG347" i="5"/>
  <c r="Y347" i="5"/>
  <c r="X347" i="5"/>
  <c r="M347" i="5"/>
  <c r="B347" i="5"/>
  <c r="AG346" i="5"/>
  <c r="Y346" i="5"/>
  <c r="X346" i="5"/>
  <c r="M346" i="5"/>
  <c r="B346" i="5"/>
  <c r="AG345" i="5"/>
  <c r="AA345" i="5"/>
  <c r="Y345" i="5"/>
  <c r="X345" i="5"/>
  <c r="M345" i="5"/>
  <c r="B345" i="5"/>
  <c r="AG344" i="5"/>
  <c r="Y344" i="5"/>
  <c r="X344" i="5"/>
  <c r="M344" i="5"/>
  <c r="B344" i="5"/>
  <c r="AG343" i="5"/>
  <c r="Y343" i="5"/>
  <c r="X343" i="5"/>
  <c r="M343" i="5"/>
  <c r="B343" i="5"/>
  <c r="AG342" i="5"/>
  <c r="Y342" i="5"/>
  <c r="X342" i="5"/>
  <c r="M342" i="5"/>
  <c r="B342" i="5"/>
  <c r="AG341" i="5"/>
  <c r="Y341" i="5"/>
  <c r="X341" i="5"/>
  <c r="M341" i="5"/>
  <c r="B341" i="5"/>
  <c r="AG340" i="5"/>
  <c r="Y340" i="5"/>
  <c r="X340" i="5"/>
  <c r="M340" i="5"/>
  <c r="B340" i="5"/>
  <c r="AG339" i="5"/>
  <c r="Y339" i="5"/>
  <c r="X339" i="5"/>
  <c r="M339" i="5"/>
  <c r="B339" i="5"/>
  <c r="AG338" i="5"/>
  <c r="Y338" i="5"/>
  <c r="X338" i="5"/>
  <c r="M338" i="5"/>
  <c r="B338" i="5"/>
  <c r="AG335" i="5"/>
  <c r="AA335" i="5"/>
  <c r="Y335" i="5"/>
  <c r="X335" i="5"/>
  <c r="M335" i="5"/>
  <c r="B335" i="5"/>
  <c r="AG334" i="5"/>
  <c r="AA334" i="5"/>
  <c r="Y334" i="5"/>
  <c r="X334" i="5"/>
  <c r="M334" i="5"/>
  <c r="B334" i="5"/>
  <c r="AG333" i="5"/>
  <c r="AA333" i="5"/>
  <c r="Y333" i="5"/>
  <c r="X333" i="5"/>
  <c r="M333" i="5"/>
  <c r="B333" i="5"/>
  <c r="AG332" i="5"/>
  <c r="Y332" i="5"/>
  <c r="X332" i="5"/>
  <c r="M332" i="5"/>
  <c r="B332" i="5"/>
  <c r="AG331" i="5"/>
  <c r="Y331" i="5"/>
  <c r="X331" i="5"/>
  <c r="M331" i="5"/>
  <c r="B331" i="5"/>
  <c r="AG330" i="5"/>
  <c r="AA330" i="5"/>
  <c r="Y330" i="5"/>
  <c r="X330" i="5"/>
  <c r="M330" i="5"/>
  <c r="B330" i="5"/>
  <c r="AG329" i="5"/>
  <c r="AA329" i="5"/>
  <c r="Y329" i="5"/>
  <c r="X329" i="5"/>
  <c r="M329" i="5"/>
  <c r="B329" i="5"/>
  <c r="AG328" i="5"/>
  <c r="AA328" i="5"/>
  <c r="Y328" i="5"/>
  <c r="X328" i="5"/>
  <c r="M328" i="5"/>
  <c r="B328" i="5"/>
  <c r="AG327" i="5"/>
  <c r="Y327" i="5"/>
  <c r="X327" i="5"/>
  <c r="M327" i="5"/>
  <c r="B327" i="5"/>
  <c r="AG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AA320" i="5"/>
  <c r="Y320" i="5"/>
  <c r="X320" i="5"/>
  <c r="M320" i="5"/>
  <c r="B320" i="5"/>
  <c r="AG319" i="5"/>
  <c r="AA319" i="5"/>
  <c r="Y319" i="5"/>
  <c r="X319" i="5"/>
  <c r="M319" i="5"/>
  <c r="B319" i="5"/>
  <c r="AG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AA307" i="5"/>
  <c r="Y307" i="5"/>
  <c r="X307" i="5"/>
  <c r="M307" i="5"/>
  <c r="B307" i="5"/>
  <c r="AG306" i="5"/>
  <c r="AA306" i="5"/>
  <c r="Y306" i="5"/>
  <c r="X306" i="5"/>
  <c r="M306" i="5"/>
  <c r="B306" i="5"/>
  <c r="AG305" i="5"/>
  <c r="Y305" i="5"/>
  <c r="X305" i="5"/>
  <c r="M305" i="5"/>
  <c r="B305" i="5"/>
  <c r="AG304" i="5"/>
  <c r="AA304" i="5"/>
  <c r="Y304" i="5"/>
  <c r="X304" i="5"/>
  <c r="M304" i="5"/>
  <c r="B304" i="5"/>
  <c r="AG303" i="5"/>
  <c r="Y303" i="5"/>
  <c r="X303" i="5"/>
  <c r="M303" i="5"/>
  <c r="B303" i="5"/>
  <c r="AG302" i="5"/>
  <c r="Y302" i="5"/>
  <c r="X302" i="5"/>
  <c r="M302" i="5"/>
  <c r="B302" i="5"/>
  <c r="AG301" i="5"/>
  <c r="Y301" i="5"/>
  <c r="X301" i="5"/>
  <c r="M301" i="5"/>
  <c r="B301" i="5"/>
  <c r="AG300" i="5"/>
  <c r="Y300" i="5"/>
  <c r="X300" i="5"/>
  <c r="M300" i="5"/>
  <c r="B300" i="5"/>
  <c r="AG299" i="5"/>
  <c r="Y299" i="5"/>
  <c r="X299" i="5"/>
  <c r="M299" i="5"/>
  <c r="B299" i="5"/>
  <c r="AG298" i="5"/>
  <c r="Y298" i="5"/>
  <c r="X298" i="5"/>
  <c r="M298" i="5"/>
  <c r="B298" i="5"/>
  <c r="AG297" i="5"/>
  <c r="Y297" i="5"/>
  <c r="X297" i="5"/>
  <c r="M297" i="5"/>
  <c r="B297" i="5"/>
  <c r="AG296" i="5"/>
  <c r="Y296" i="5"/>
  <c r="X296" i="5"/>
  <c r="M296" i="5"/>
  <c r="B296" i="5"/>
  <c r="AG295" i="5"/>
  <c r="Y295" i="5"/>
  <c r="X295" i="5"/>
  <c r="M295" i="5"/>
  <c r="B295" i="5"/>
  <c r="AG294" i="5"/>
  <c r="Y294" i="5"/>
  <c r="X294" i="5"/>
  <c r="M294" i="5"/>
  <c r="B294" i="5"/>
  <c r="AG293" i="5"/>
  <c r="Y293" i="5"/>
  <c r="X293" i="5"/>
  <c r="M293" i="5"/>
  <c r="B293" i="5"/>
  <c r="AG292" i="5"/>
  <c r="Y292" i="5"/>
  <c r="X292" i="5"/>
  <c r="M292" i="5"/>
  <c r="B292" i="5"/>
  <c r="AG291" i="5"/>
  <c r="AA291" i="5"/>
  <c r="Y291" i="5"/>
  <c r="X291" i="5"/>
  <c r="M291" i="5"/>
  <c r="B291" i="5"/>
  <c r="AG290" i="5"/>
  <c r="Y290" i="5"/>
  <c r="X290" i="5"/>
  <c r="M290" i="5"/>
  <c r="B290" i="5"/>
  <c r="AG289" i="5"/>
  <c r="Y289" i="5"/>
  <c r="X289" i="5"/>
  <c r="M289" i="5"/>
  <c r="B289" i="5"/>
  <c r="AG288" i="5"/>
  <c r="Y288" i="5"/>
  <c r="X288" i="5"/>
  <c r="M288" i="5"/>
  <c r="B288" i="5"/>
  <c r="AG287" i="5"/>
  <c r="Y287" i="5"/>
  <c r="X287" i="5"/>
  <c r="M287" i="5"/>
  <c r="B287" i="5"/>
  <c r="AG286" i="5"/>
  <c r="Y286" i="5"/>
  <c r="X286" i="5"/>
  <c r="M286" i="5"/>
  <c r="B286" i="5"/>
  <c r="AG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Y282" i="5"/>
  <c r="X282" i="5"/>
  <c r="M282" i="5"/>
  <c r="B282" i="5"/>
  <c r="AG281" i="5"/>
  <c r="Y281" i="5"/>
  <c r="X281" i="5"/>
  <c r="M281" i="5"/>
  <c r="B281" i="5"/>
  <c r="AG280" i="5"/>
  <c r="AB280" i="5"/>
  <c r="AA280" i="5"/>
  <c r="Y280" i="5"/>
  <c r="X280" i="5"/>
  <c r="M280" i="5"/>
  <c r="B280" i="5"/>
  <c r="AG279" i="5"/>
  <c r="Y279" i="5"/>
  <c r="X279" i="5"/>
  <c r="M279" i="5"/>
  <c r="B279" i="5"/>
  <c r="AG278" i="5"/>
  <c r="AB278" i="5"/>
  <c r="AA278" i="5"/>
  <c r="Y278" i="5"/>
  <c r="X278" i="5"/>
  <c r="M278" i="5"/>
  <c r="B278" i="5"/>
  <c r="AG277" i="5"/>
  <c r="B277" i="5"/>
  <c r="AG276" i="5"/>
  <c r="Y276" i="5"/>
  <c r="X276" i="5"/>
  <c r="M276" i="5"/>
  <c r="B276" i="5"/>
  <c r="AG275" i="5"/>
  <c r="Y275" i="5"/>
  <c r="X275" i="5"/>
  <c r="M275" i="5"/>
  <c r="B275" i="5"/>
  <c r="AG274" i="5"/>
  <c r="Y274" i="5"/>
  <c r="X274" i="5"/>
  <c r="M274" i="5"/>
  <c r="B274" i="5"/>
  <c r="AG273" i="5"/>
  <c r="Y273" i="5"/>
  <c r="X273" i="5"/>
  <c r="M273" i="5"/>
  <c r="B273" i="5"/>
  <c r="AG272" i="5"/>
  <c r="Y272" i="5"/>
  <c r="X272" i="5"/>
  <c r="M272" i="5"/>
  <c r="B272" i="5"/>
  <c r="AG271" i="5"/>
  <c r="Y271" i="5"/>
  <c r="X271" i="5"/>
  <c r="M271" i="5"/>
  <c r="B271" i="5"/>
  <c r="AG270" i="5"/>
  <c r="Y270" i="5"/>
  <c r="X270" i="5"/>
  <c r="M270" i="5"/>
  <c r="B270" i="5"/>
  <c r="AG269" i="5"/>
  <c r="Y269" i="5"/>
  <c r="X269" i="5"/>
  <c r="M269" i="5"/>
  <c r="B269" i="5"/>
  <c r="AG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M261" i="5"/>
  <c r="B261" i="5"/>
  <c r="AG260" i="5"/>
  <c r="Y260" i="5"/>
  <c r="X260" i="5"/>
  <c r="M260" i="5"/>
  <c r="B260" i="5"/>
  <c r="AG259" i="5"/>
  <c r="Y259" i="5"/>
  <c r="X259" i="5"/>
  <c r="B259" i="5"/>
  <c r="AG258" i="5"/>
  <c r="Y258" i="5"/>
  <c r="X258" i="5"/>
  <c r="M258" i="5"/>
  <c r="B258" i="5"/>
  <c r="AG257" i="5"/>
  <c r="Y257" i="5"/>
  <c r="X257" i="5"/>
  <c r="M257" i="5"/>
  <c r="B257" i="5"/>
  <c r="AG256" i="5"/>
  <c r="AA256" i="5"/>
  <c r="Y256" i="5"/>
  <c r="X256" i="5"/>
  <c r="M256" i="5"/>
  <c r="B256" i="5"/>
  <c r="AG255" i="5"/>
  <c r="AA255" i="5"/>
  <c r="Y255" i="5"/>
  <c r="X255" i="5"/>
  <c r="M255" i="5"/>
  <c r="B255" i="5"/>
  <c r="AG254" i="5"/>
  <c r="Y254" i="5"/>
  <c r="X254" i="5"/>
  <c r="M254" i="5"/>
  <c r="B254" i="5"/>
  <c r="AG253" i="5"/>
  <c r="AA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AA249" i="5"/>
  <c r="Y249" i="5"/>
  <c r="X249" i="5"/>
  <c r="M249" i="5"/>
  <c r="B249" i="5"/>
  <c r="AG248" i="5"/>
  <c r="AA248" i="5"/>
  <c r="Y248" i="5"/>
  <c r="X248" i="5"/>
  <c r="M248" i="5"/>
  <c r="B248" i="5"/>
  <c r="AG247" i="5"/>
  <c r="Y247" i="5"/>
  <c r="X247" i="5"/>
  <c r="M247" i="5"/>
  <c r="B247" i="5"/>
  <c r="AG246" i="5"/>
  <c r="Y246" i="5"/>
  <c r="X246" i="5"/>
  <c r="M246" i="5"/>
  <c r="B246" i="5"/>
  <c r="AG245" i="5"/>
  <c r="Y245" i="5"/>
  <c r="X245" i="5"/>
  <c r="M245" i="5"/>
  <c r="B245" i="5"/>
  <c r="AG244" i="5"/>
  <c r="AA244" i="5"/>
  <c r="Y244" i="5"/>
  <c r="X244" i="5"/>
  <c r="M244" i="5"/>
  <c r="B244" i="5"/>
  <c r="AG243" i="5"/>
  <c r="AA243" i="5"/>
  <c r="Y243" i="5"/>
  <c r="X243" i="5"/>
  <c r="M243" i="5"/>
  <c r="B243" i="5"/>
  <c r="AG241" i="5"/>
  <c r="Y241" i="5"/>
  <c r="X241" i="5"/>
  <c r="M241" i="5"/>
  <c r="B241" i="5"/>
  <c r="AG240" i="5"/>
  <c r="Y240" i="5"/>
  <c r="X240" i="5"/>
  <c r="M240" i="5"/>
  <c r="B240" i="5"/>
  <c r="AG239" i="5"/>
  <c r="Y239" i="5"/>
  <c r="X239" i="5"/>
  <c r="M239" i="5"/>
  <c r="B239" i="5"/>
  <c r="AG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8" i="5"/>
  <c r="Y208" i="5"/>
  <c r="X208" i="5"/>
  <c r="M208" i="5"/>
  <c r="B208" i="5"/>
  <c r="AG207" i="5"/>
  <c r="Y207" i="5"/>
  <c r="X207" i="5"/>
  <c r="M207" i="5"/>
  <c r="B207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Y186" i="5"/>
  <c r="X186" i="5"/>
  <c r="M186" i="5"/>
  <c r="B186" i="5"/>
  <c r="AG185" i="5"/>
  <c r="Y185" i="5"/>
  <c r="X185" i="5"/>
  <c r="M185" i="5"/>
  <c r="B185" i="5"/>
  <c r="AG184" i="5"/>
  <c r="AA184" i="5"/>
  <c r="Y184" i="5"/>
  <c r="X184" i="5"/>
  <c r="M184" i="5"/>
  <c r="B184" i="5"/>
  <c r="AG183" i="5"/>
  <c r="AA183" i="5"/>
  <c r="Y183" i="5"/>
  <c r="X183" i="5"/>
  <c r="M183" i="5"/>
  <c r="B183" i="5"/>
  <c r="AG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AA178" i="5"/>
  <c r="Y178" i="5"/>
  <c r="X178" i="5"/>
  <c r="M178" i="5"/>
  <c r="B178" i="5"/>
  <c r="AG177" i="5"/>
  <c r="AA177" i="5"/>
  <c r="Y177" i="5"/>
  <c r="X177" i="5"/>
  <c r="M177" i="5"/>
  <c r="B177" i="5"/>
  <c r="AG176" i="5"/>
  <c r="Y176" i="5"/>
  <c r="X176" i="5"/>
  <c r="M176" i="5"/>
  <c r="B176" i="5"/>
  <c r="AG175" i="5"/>
  <c r="AA175" i="5"/>
  <c r="Y175" i="5"/>
  <c r="X175" i="5"/>
  <c r="M175" i="5"/>
  <c r="B175" i="5"/>
  <c r="AG174" i="5"/>
  <c r="Y174" i="5"/>
  <c r="X174" i="5"/>
  <c r="M174" i="5"/>
  <c r="B174" i="5"/>
  <c r="AG173" i="5"/>
  <c r="Y173" i="5"/>
  <c r="X173" i="5"/>
  <c r="M173" i="5"/>
  <c r="B173" i="5"/>
  <c r="AG172" i="5"/>
  <c r="AA172" i="5"/>
  <c r="Y172" i="5"/>
  <c r="X172" i="5"/>
  <c r="M172" i="5"/>
  <c r="B172" i="5"/>
  <c r="AG171" i="5"/>
  <c r="AA171" i="5"/>
  <c r="Y171" i="5"/>
  <c r="X171" i="5"/>
  <c r="M171" i="5"/>
  <c r="B171" i="5"/>
  <c r="AG170" i="5"/>
  <c r="Y170" i="5"/>
  <c r="X170" i="5"/>
  <c r="M170" i="5"/>
  <c r="B170" i="5"/>
  <c r="AG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AA160" i="5"/>
  <c r="Y160" i="5"/>
  <c r="X160" i="5"/>
  <c r="M160" i="5"/>
  <c r="B160" i="5"/>
  <c r="AG159" i="5"/>
  <c r="AA159" i="5"/>
  <c r="Y159" i="5"/>
  <c r="X159" i="5"/>
  <c r="M159" i="5"/>
  <c r="B159" i="5"/>
  <c r="AG158" i="5"/>
  <c r="Y158" i="5"/>
  <c r="X158" i="5"/>
  <c r="M158" i="5"/>
  <c r="B158" i="5"/>
  <c r="AG157" i="5"/>
  <c r="Y157" i="5"/>
  <c r="X157" i="5"/>
  <c r="M157" i="5"/>
  <c r="B157" i="5"/>
  <c r="AG156" i="5"/>
  <c r="AA156" i="5"/>
  <c r="Y156" i="5"/>
  <c r="X156" i="5"/>
  <c r="M156" i="5"/>
  <c r="B156" i="5"/>
  <c r="AG155" i="5"/>
  <c r="Y155" i="5"/>
  <c r="X155" i="5"/>
  <c r="M155" i="5"/>
  <c r="B155" i="5"/>
  <c r="AG154" i="5"/>
  <c r="Y154" i="5"/>
  <c r="X154" i="5"/>
  <c r="M154" i="5"/>
  <c r="B154" i="5"/>
  <c r="AG153" i="5"/>
  <c r="Y153" i="5"/>
  <c r="X153" i="5"/>
  <c r="M153" i="5"/>
  <c r="B153" i="5"/>
  <c r="AG152" i="5"/>
  <c r="Y152" i="5"/>
  <c r="X152" i="5"/>
  <c r="M152" i="5"/>
  <c r="B152" i="5"/>
  <c r="AG151" i="5"/>
  <c r="AB151" i="5"/>
  <c r="AA151" i="5"/>
  <c r="Y151" i="5"/>
  <c r="X151" i="5"/>
  <c r="M151" i="5"/>
  <c r="B151" i="5"/>
  <c r="AG150" i="5"/>
  <c r="AB150" i="5"/>
  <c r="AA150" i="5"/>
  <c r="Y150" i="5"/>
  <c r="X150" i="5"/>
  <c r="M150" i="5"/>
  <c r="B150" i="5"/>
  <c r="AG149" i="5"/>
  <c r="AB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M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M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AB127" i="5"/>
  <c r="AA127" i="5"/>
  <c r="Y127" i="5"/>
  <c r="X127" i="5"/>
  <c r="M127" i="5"/>
  <c r="B127" i="5"/>
  <c r="AG126" i="5"/>
  <c r="AB126" i="5"/>
  <c r="AA126" i="5"/>
  <c r="Y126" i="5"/>
  <c r="X126" i="5"/>
  <c r="M126" i="5"/>
  <c r="B126" i="5"/>
  <c r="AG125" i="5"/>
  <c r="Y125" i="5"/>
  <c r="X125" i="5"/>
  <c r="M125" i="5"/>
  <c r="B125" i="5"/>
  <c r="AG124" i="5"/>
  <c r="Y124" i="5"/>
  <c r="X124" i="5"/>
  <c r="M124" i="5"/>
  <c r="B124" i="5"/>
  <c r="AG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G115" i="5"/>
  <c r="Y115" i="5"/>
  <c r="X115" i="5"/>
  <c r="M115" i="5"/>
  <c r="B115" i="5"/>
  <c r="AG114" i="5"/>
  <c r="Y114" i="5"/>
  <c r="X114" i="5"/>
  <c r="M114" i="5"/>
  <c r="B114" i="5"/>
  <c r="AK113" i="5"/>
  <c r="AG113" i="5"/>
  <c r="Y113" i="5"/>
  <c r="X113" i="5"/>
  <c r="M113" i="5"/>
  <c r="B113" i="5"/>
  <c r="AG112" i="5"/>
  <c r="Y112" i="5"/>
  <c r="X112" i="5"/>
  <c r="M112" i="5"/>
  <c r="B112" i="5"/>
  <c r="AG111" i="5"/>
  <c r="Y111" i="5"/>
  <c r="X111" i="5"/>
  <c r="M111" i="5"/>
  <c r="B111" i="5"/>
  <c r="AK110" i="5"/>
  <c r="AG110" i="5"/>
  <c r="Y110" i="5"/>
  <c r="X110" i="5"/>
  <c r="M110" i="5"/>
  <c r="B110" i="5"/>
  <c r="AG109" i="5"/>
  <c r="Y109" i="5"/>
  <c r="X109" i="5"/>
  <c r="M109" i="5"/>
  <c r="B109" i="5"/>
  <c r="AG108" i="5"/>
  <c r="AB108" i="5"/>
  <c r="AA108" i="5"/>
  <c r="Y108" i="5"/>
  <c r="X108" i="5"/>
  <c r="M108" i="5"/>
  <c r="B108" i="5"/>
  <c r="AG107" i="5"/>
  <c r="AB107" i="5"/>
  <c r="AA107" i="5"/>
  <c r="Y107" i="5"/>
  <c r="X107" i="5"/>
  <c r="M107" i="5"/>
  <c r="B107" i="5"/>
  <c r="AG106" i="5"/>
  <c r="AB106" i="5"/>
  <c r="AA106" i="5"/>
  <c r="Y106" i="5"/>
  <c r="X106" i="5"/>
  <c r="M106" i="5"/>
  <c r="B106" i="5"/>
  <c r="AG105" i="5"/>
  <c r="Y105" i="5"/>
  <c r="X105" i="5"/>
  <c r="M105" i="5"/>
  <c r="B105" i="5"/>
  <c r="AG104" i="5"/>
  <c r="Y104" i="5"/>
  <c r="X104" i="5"/>
  <c r="M104" i="5"/>
  <c r="B104" i="5"/>
  <c r="AG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7" i="5"/>
  <c r="Y77" i="5"/>
  <c r="X77" i="5"/>
  <c r="M77" i="5"/>
  <c r="B77" i="5"/>
  <c r="AG76" i="5"/>
  <c r="Y76" i="5"/>
  <c r="X76" i="5"/>
  <c r="M76" i="5"/>
  <c r="B76" i="5"/>
  <c r="AG73" i="5"/>
  <c r="AB73" i="5"/>
  <c r="AA73" i="5"/>
  <c r="Y73" i="5"/>
  <c r="X73" i="5"/>
  <c r="M73" i="5"/>
  <c r="B73" i="5"/>
  <c r="AG72" i="5"/>
  <c r="AB72" i="5"/>
  <c r="AA72" i="5"/>
  <c r="Y72" i="5"/>
  <c r="X72" i="5"/>
  <c r="M72" i="5"/>
  <c r="B72" i="5"/>
  <c r="AG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Y62" i="5"/>
  <c r="X62" i="5"/>
  <c r="M62" i="5"/>
  <c r="B62" i="5"/>
  <c r="AG61" i="5"/>
  <c r="AB61" i="5"/>
  <c r="AA61" i="5"/>
  <c r="Y61" i="5"/>
  <c r="X61" i="5"/>
  <c r="M61" i="5"/>
  <c r="B61" i="5"/>
  <c r="AG60" i="5"/>
  <c r="AB60" i="5"/>
  <c r="AA60" i="5"/>
  <c r="Y60" i="5"/>
  <c r="X60" i="5"/>
  <c r="M60" i="5"/>
  <c r="B60" i="5"/>
  <c r="AG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AB50" i="5"/>
  <c r="AA50" i="5"/>
  <c r="Y50" i="5"/>
  <c r="X50" i="5"/>
  <c r="M50" i="5"/>
  <c r="B50" i="5"/>
  <c r="AG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AB42" i="5"/>
  <c r="AA42" i="5"/>
  <c r="Y42" i="5"/>
  <c r="X42" i="5"/>
  <c r="M42" i="5"/>
  <c r="B42" i="5"/>
  <c r="AG41" i="5"/>
  <c r="AB41" i="5"/>
  <c r="AA41" i="5"/>
  <c r="Y41" i="5"/>
  <c r="X41" i="5"/>
  <c r="M41" i="5"/>
  <c r="B41" i="5"/>
  <c r="AG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AB34" i="5"/>
  <c r="AA34" i="5"/>
  <c r="Y34" i="5"/>
  <c r="X34" i="5"/>
  <c r="M34" i="5"/>
  <c r="B34" i="5"/>
  <c r="AG33" i="5"/>
  <c r="AB33" i="5"/>
  <c r="AA33" i="5"/>
  <c r="Y33" i="5"/>
  <c r="X33" i="5"/>
  <c r="M33" i="5"/>
  <c r="B33" i="5"/>
  <c r="AG32" i="5"/>
  <c r="Y32" i="5"/>
  <c r="X32" i="5"/>
  <c r="M32" i="5"/>
  <c r="B32" i="5"/>
  <c r="AG31" i="5"/>
  <c r="Y31" i="5"/>
  <c r="X31" i="5"/>
  <c r="M31" i="5"/>
  <c r="B31" i="5"/>
  <c r="AG30" i="5"/>
  <c r="AB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Y27" i="5"/>
  <c r="X27" i="5"/>
  <c r="M27" i="5"/>
  <c r="B27" i="5"/>
  <c r="AG26" i="5"/>
  <c r="AB26" i="5"/>
  <c r="AA26" i="5"/>
  <c r="Y26" i="5"/>
  <c r="X26" i="5"/>
  <c r="M26" i="5"/>
  <c r="B26" i="5"/>
  <c r="AG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AB22" i="5"/>
  <c r="AA22" i="5"/>
  <c r="Y22" i="5"/>
  <c r="X22" i="5"/>
  <c r="M22" i="5"/>
  <c r="B22" i="5"/>
  <c r="AG21" i="5"/>
  <c r="AB21" i="5"/>
  <c r="AA21" i="5"/>
  <c r="Y21" i="5"/>
  <c r="X21" i="5"/>
  <c r="M21" i="5"/>
  <c r="B21" i="5"/>
  <c r="AG20" i="5"/>
  <c r="Y20" i="5"/>
  <c r="X20" i="5"/>
  <c r="M20" i="5"/>
  <c r="B20" i="5"/>
  <c r="AG19" i="5"/>
  <c r="AB19" i="5"/>
  <c r="AA19" i="5"/>
  <c r="Y19" i="5"/>
  <c r="X19" i="5"/>
  <c r="M19" i="5"/>
  <c r="B19" i="5"/>
  <c r="AG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6" i="3"/>
  <c r="D66" i="3"/>
  <c r="C66" i="3"/>
  <c r="B66" i="3"/>
  <c r="E65" i="3"/>
  <c r="D65" i="3"/>
  <c r="C65" i="3"/>
  <c r="B65" i="3"/>
  <c r="E63" i="3"/>
  <c r="D63" i="3"/>
  <c r="C63" i="3"/>
  <c r="B63" i="3"/>
  <c r="E62" i="3"/>
  <c r="D62" i="3"/>
  <c r="C62" i="3"/>
  <c r="B62" i="3"/>
  <c r="E61" i="3"/>
  <c r="J61" i="3" s="1"/>
  <c r="D61" i="3"/>
  <c r="I61" i="3" s="1"/>
  <c r="B61" i="3"/>
  <c r="E60" i="3"/>
  <c r="G64" i="3" s="1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I22" i="3" s="1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B19" i="3"/>
  <c r="E18" i="3"/>
  <c r="J18" i="3" s="1"/>
  <c r="D18" i="3"/>
  <c r="I18" i="3" s="1"/>
  <c r="B18" i="3"/>
  <c r="E17" i="3"/>
  <c r="J17" i="3" s="1"/>
  <c r="D17" i="3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J12" i="3" s="1"/>
  <c r="D12" i="3"/>
  <c r="I12" i="3" s="1"/>
  <c r="B12" i="3"/>
  <c r="E11" i="3"/>
  <c r="J11" i="3" s="1"/>
  <c r="D11" i="3"/>
  <c r="I11" i="3" s="1"/>
  <c r="B11" i="3"/>
  <c r="E10" i="3"/>
  <c r="J10" i="3" s="1"/>
  <c r="D10" i="3"/>
  <c r="I10" i="3" s="1"/>
  <c r="B10" i="3"/>
  <c r="E9" i="3"/>
  <c r="J9" i="3" s="1"/>
  <c r="D9" i="3"/>
  <c r="I9" i="3" s="1"/>
  <c r="B9" i="3"/>
  <c r="E8" i="3"/>
  <c r="J8" i="3" s="1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D10" i="21" l="1"/>
  <c r="D8" i="21"/>
  <c r="E26" i="17"/>
  <c r="D16" i="21"/>
  <c r="E24" i="17"/>
  <c r="F63" i="3"/>
  <c r="F64" i="3"/>
  <c r="H64" i="3" s="1"/>
  <c r="G63" i="3"/>
  <c r="C7" i="17"/>
  <c r="D11" i="17"/>
  <c r="E11" i="17" s="1"/>
  <c r="D12" i="17"/>
  <c r="E12" i="17" s="1"/>
  <c r="D10" i="17"/>
  <c r="E10" i="17" s="1"/>
  <c r="C8" i="17"/>
  <c r="C9" i="17"/>
  <c r="D5" i="17"/>
  <c r="E5" i="17" s="1"/>
  <c r="D7" i="17"/>
  <c r="E7" i="17" s="1"/>
  <c r="C10" i="17"/>
  <c r="C12" i="17"/>
  <c r="C11" i="17"/>
  <c r="D4" i="17"/>
  <c r="E4" i="17" s="1"/>
  <c r="C5" i="17"/>
  <c r="D8" i="17"/>
  <c r="E8" i="17" s="1"/>
  <c r="C4" i="17"/>
  <c r="D6" i="17"/>
  <c r="E6" i="17" s="1"/>
  <c r="C6" i="17"/>
  <c r="D9" i="17"/>
  <c r="E9" i="17" s="1"/>
  <c r="J46" i="3"/>
  <c r="G47" i="26"/>
  <c r="G49" i="26"/>
  <c r="G51" i="26"/>
  <c r="G53" i="26"/>
  <c r="G55" i="26"/>
  <c r="G60" i="26"/>
  <c r="G62" i="26"/>
  <c r="G64" i="26"/>
  <c r="G66" i="26"/>
  <c r="G68" i="26"/>
  <c r="G70" i="26"/>
  <c r="G72" i="26"/>
  <c r="G54" i="3"/>
  <c r="H47" i="26"/>
  <c r="H49" i="26"/>
  <c r="H51" i="26"/>
  <c r="H53" i="26"/>
  <c r="H55" i="26"/>
  <c r="H60" i="26"/>
  <c r="H62" i="26"/>
  <c r="H64" i="26"/>
  <c r="H66" i="26"/>
  <c r="H68" i="26"/>
  <c r="H70" i="26"/>
  <c r="I24" i="3"/>
  <c r="I30" i="3"/>
  <c r="J55" i="3"/>
  <c r="G58" i="3"/>
  <c r="H72" i="26"/>
  <c r="J44" i="3"/>
  <c r="G56" i="3"/>
  <c r="I58" i="3"/>
  <c r="J57" i="3"/>
  <c r="J66" i="3"/>
  <c r="J58" i="3"/>
  <c r="G38" i="3"/>
  <c r="F49" i="3"/>
  <c r="G49" i="3"/>
  <c r="I32" i="3"/>
  <c r="F39" i="3"/>
  <c r="J34" i="3"/>
  <c r="G37" i="3"/>
  <c r="I62" i="3"/>
  <c r="G48" i="26"/>
  <c r="G50" i="26"/>
  <c r="G52" i="26"/>
  <c r="G54" i="26"/>
  <c r="G56" i="26"/>
  <c r="G61" i="26"/>
  <c r="G63" i="26"/>
  <c r="G65" i="26"/>
  <c r="G67" i="26"/>
  <c r="G69" i="26"/>
  <c r="G71" i="26"/>
  <c r="G73" i="26"/>
  <c r="I36" i="3"/>
  <c r="J36" i="3"/>
  <c r="F20" i="3"/>
  <c r="F21" i="3"/>
  <c r="F25" i="3"/>
  <c r="J37" i="3"/>
  <c r="I39" i="3"/>
  <c r="I54" i="3"/>
  <c r="I59" i="3"/>
  <c r="H48" i="26"/>
  <c r="H50" i="26"/>
  <c r="H52" i="26"/>
  <c r="H54" i="26"/>
  <c r="H56" i="26"/>
  <c r="H61" i="26"/>
  <c r="H63" i="26"/>
  <c r="H65" i="26"/>
  <c r="H67" i="26"/>
  <c r="H69" i="26"/>
  <c r="H71" i="26"/>
  <c r="H73" i="26"/>
  <c r="J60" i="3"/>
  <c r="G15" i="3"/>
  <c r="G19" i="3"/>
  <c r="G26" i="3"/>
  <c r="G27" i="3"/>
  <c r="G25" i="3"/>
  <c r="F33" i="3"/>
  <c r="G59" i="3"/>
  <c r="I23" i="3"/>
  <c r="I31" i="3"/>
  <c r="G61" i="3"/>
  <c r="J31" i="3"/>
  <c r="G34" i="3"/>
  <c r="F62" i="3"/>
  <c r="F65" i="3"/>
  <c r="F51" i="3"/>
  <c r="I53" i="3"/>
  <c r="J53" i="3"/>
  <c r="I60" i="3"/>
  <c r="J42" i="3"/>
  <c r="F22" i="3"/>
  <c r="J26" i="3"/>
  <c r="F24" i="3"/>
  <c r="J43" i="3"/>
  <c r="I52" i="3"/>
  <c r="F59" i="3"/>
  <c r="G55" i="3"/>
  <c r="F60" i="3"/>
  <c r="G21" i="3"/>
  <c r="J38" i="3"/>
  <c r="J27" i="3"/>
  <c r="G3" i="3"/>
  <c r="G5" i="3"/>
  <c r="G7" i="3"/>
  <c r="G9" i="3"/>
  <c r="G13" i="3"/>
  <c r="J59" i="3"/>
  <c r="J19" i="3"/>
  <c r="J52" i="3"/>
  <c r="G24" i="3"/>
  <c r="G20" i="3"/>
  <c r="G22" i="3"/>
  <c r="G23" i="3"/>
  <c r="G6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J23" i="3"/>
  <c r="J45" i="3"/>
  <c r="G4" i="3"/>
  <c r="G6" i="3"/>
  <c r="G8" i="3"/>
  <c r="H8" i="3" s="1"/>
  <c r="G10" i="3"/>
  <c r="G11" i="3"/>
  <c r="G12" i="3"/>
  <c r="G14" i="3"/>
  <c r="G16" i="3"/>
  <c r="G17" i="3"/>
  <c r="G18" i="3"/>
  <c r="I19" i="3"/>
  <c r="I17" i="3"/>
  <c r="F73" i="26"/>
  <c r="I45" i="3"/>
  <c r="J35" i="3"/>
  <c r="J56" i="3"/>
  <c r="J29" i="3"/>
  <c r="F61" i="3"/>
  <c r="I63" i="3"/>
  <c r="I46" i="3"/>
  <c r="I28" i="3"/>
  <c r="I41" i="3"/>
  <c r="J24" i="3"/>
  <c r="J28" i="3"/>
  <c r="I35" i="3"/>
  <c r="I43" i="3"/>
  <c r="J51" i="3"/>
  <c r="J62" i="3"/>
  <c r="J63" i="3"/>
  <c r="I38" i="3"/>
  <c r="I27" i="3"/>
  <c r="J54" i="3"/>
  <c r="D14" i="2"/>
  <c r="I25" i="3"/>
  <c r="J30" i="3"/>
  <c r="I29" i="3"/>
  <c r="N9" i="6"/>
  <c r="F42" i="3"/>
  <c r="J65" i="3"/>
  <c r="G53" i="3"/>
  <c r="G52" i="3"/>
  <c r="G66" i="3"/>
  <c r="G51" i="3"/>
  <c r="F36" i="3"/>
  <c r="I40" i="3"/>
  <c r="J41" i="3"/>
  <c r="G42" i="3"/>
  <c r="I48" i="3"/>
  <c r="I51" i="3"/>
  <c r="F38" i="3"/>
  <c r="G35" i="3"/>
  <c r="J39" i="3"/>
  <c r="G36" i="3"/>
  <c r="J40" i="3"/>
  <c r="F41" i="3"/>
  <c r="I44" i="3"/>
  <c r="J48" i="3"/>
  <c r="G65" i="3"/>
  <c r="H19" i="26"/>
  <c r="I19" i="26" s="1"/>
  <c r="E16" i="26"/>
  <c r="F16" i="26" s="1"/>
  <c r="H11" i="26"/>
  <c r="I11" i="26" s="1"/>
  <c r="E8" i="26"/>
  <c r="F8" i="26" s="1"/>
  <c r="H3" i="26"/>
  <c r="I3" i="26" s="1"/>
  <c r="H20" i="26"/>
  <c r="I20" i="26" s="1"/>
  <c r="E17" i="26"/>
  <c r="F17" i="26" s="1"/>
  <c r="H12" i="26"/>
  <c r="I12" i="26" s="1"/>
  <c r="E9" i="26"/>
  <c r="F9" i="26" s="1"/>
  <c r="H4" i="26"/>
  <c r="I4" i="26" s="1"/>
  <c r="H21" i="26"/>
  <c r="I21" i="26" s="1"/>
  <c r="E18" i="26"/>
  <c r="F18" i="26" s="1"/>
  <c r="H13" i="26"/>
  <c r="I13" i="26" s="1"/>
  <c r="E10" i="26"/>
  <c r="F10" i="26" s="1"/>
  <c r="H5" i="26"/>
  <c r="I5" i="26" s="1"/>
  <c r="E2" i="26"/>
  <c r="F2" i="26" s="1"/>
  <c r="E19" i="26"/>
  <c r="F19" i="26" s="1"/>
  <c r="H14" i="26"/>
  <c r="I14" i="26" s="1"/>
  <c r="E11" i="26"/>
  <c r="F11" i="26" s="1"/>
  <c r="H6" i="26"/>
  <c r="I6" i="26" s="1"/>
  <c r="E3" i="26"/>
  <c r="F3" i="26" s="1"/>
  <c r="E20" i="26"/>
  <c r="F20" i="26" s="1"/>
  <c r="H15" i="26"/>
  <c r="I15" i="26" s="1"/>
  <c r="E12" i="26"/>
  <c r="F12" i="26" s="1"/>
  <c r="H7" i="26"/>
  <c r="I7" i="26" s="1"/>
  <c r="E4" i="26"/>
  <c r="F4" i="26" s="1"/>
  <c r="E42" i="26"/>
  <c r="F42" i="26" s="1"/>
  <c r="E41" i="26"/>
  <c r="F41" i="26" s="1"/>
  <c r="E40" i="26"/>
  <c r="F40" i="26" s="1"/>
  <c r="E39" i="26"/>
  <c r="F39" i="26" s="1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F32" i="26" s="1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H16" i="26"/>
  <c r="I16" i="26" s="1"/>
  <c r="E13" i="26"/>
  <c r="F13" i="26" s="1"/>
  <c r="H8" i="26"/>
  <c r="I8" i="26" s="1"/>
  <c r="E5" i="26"/>
  <c r="F5" i="26" s="1"/>
  <c r="H17" i="26"/>
  <c r="I17" i="26" s="1"/>
  <c r="E14" i="26"/>
  <c r="F14" i="26" s="1"/>
  <c r="H9" i="26"/>
  <c r="I9" i="26" s="1"/>
  <c r="E6" i="26"/>
  <c r="F6" i="26" s="1"/>
  <c r="H18" i="26"/>
  <c r="I18" i="26" s="1"/>
  <c r="E15" i="26"/>
  <c r="F15" i="26" s="1"/>
  <c r="H10" i="26"/>
  <c r="I10" i="26" s="1"/>
  <c r="E7" i="26"/>
  <c r="F7" i="26" s="1"/>
  <c r="H2" i="26"/>
  <c r="I2" i="26" s="1"/>
  <c r="I34" i="3"/>
  <c r="F40" i="3"/>
  <c r="G41" i="3"/>
  <c r="G57" i="3"/>
  <c r="G62" i="3"/>
  <c r="G29" i="3"/>
  <c r="F30" i="3"/>
  <c r="F37" i="3"/>
  <c r="F28" i="3"/>
  <c r="F29" i="3"/>
  <c r="I33" i="3"/>
  <c r="F35" i="3"/>
  <c r="I37" i="3"/>
  <c r="G39" i="3"/>
  <c r="G40" i="3"/>
  <c r="I47" i="3"/>
  <c r="I50" i="3"/>
  <c r="I57" i="3"/>
  <c r="H22" i="26"/>
  <c r="H30" i="26"/>
  <c r="H38" i="26"/>
  <c r="I26" i="3"/>
  <c r="G30" i="3"/>
  <c r="F31" i="3"/>
  <c r="G28" i="3"/>
  <c r="J32" i="3"/>
  <c r="J33" i="3"/>
  <c r="F34" i="3"/>
  <c r="J47" i="3"/>
  <c r="J50" i="3"/>
  <c r="I56" i="3"/>
  <c r="I66" i="3"/>
  <c r="F58" i="3"/>
  <c r="F56" i="3"/>
  <c r="F55" i="3"/>
  <c r="H25" i="26"/>
  <c r="H33" i="26"/>
  <c r="H41" i="26"/>
  <c r="F27" i="3"/>
  <c r="G31" i="3"/>
  <c r="F32" i="3"/>
  <c r="I42" i="3"/>
  <c r="F43" i="3"/>
  <c r="F54" i="3"/>
  <c r="I49" i="3"/>
  <c r="F45" i="3"/>
  <c r="G50" i="3"/>
  <c r="H50" i="3" s="1"/>
  <c r="I55" i="3"/>
  <c r="H28" i="26"/>
  <c r="H36" i="26"/>
  <c r="F23" i="3"/>
  <c r="J25" i="3"/>
  <c r="F26" i="3"/>
  <c r="G32" i="3"/>
  <c r="G33" i="3"/>
  <c r="G43" i="3"/>
  <c r="J49" i="3"/>
  <c r="G45" i="3"/>
  <c r="F57" i="3"/>
  <c r="I65" i="3"/>
  <c r="F53" i="3"/>
  <c r="F52" i="3"/>
  <c r="F66" i="3"/>
  <c r="H23" i="26"/>
  <c r="H31" i="26"/>
  <c r="H39" i="26"/>
  <c r="H26" i="26"/>
  <c r="H34" i="26"/>
  <c r="H42" i="26"/>
  <c r="H29" i="26"/>
  <c r="H37" i="26"/>
  <c r="H24" i="26"/>
  <c r="H32" i="26"/>
  <c r="H40" i="26"/>
  <c r="H27" i="26"/>
  <c r="H35" i="26"/>
  <c r="N8" i="6"/>
  <c r="N12" i="6"/>
  <c r="N17" i="6"/>
  <c r="N7" i="6"/>
  <c r="N11" i="6"/>
  <c r="N13" i="6"/>
  <c r="N14" i="6"/>
  <c r="N16" i="6"/>
  <c r="F47" i="26"/>
  <c r="F48" i="26"/>
  <c r="F49" i="26"/>
  <c r="F50" i="26"/>
  <c r="F51" i="26"/>
  <c r="F52" i="26"/>
  <c r="F53" i="26"/>
  <c r="F54" i="26"/>
  <c r="F55" i="26"/>
  <c r="F56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N15" i="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N4" i="6"/>
  <c r="N6" i="6"/>
  <c r="N10" i="6"/>
  <c r="I30" i="26" l="1"/>
  <c r="I34" i="26"/>
  <c r="I25" i="26"/>
  <c r="I60" i="26"/>
  <c r="I56" i="26"/>
  <c r="I72" i="26"/>
  <c r="I53" i="26"/>
  <c r="H62" i="3"/>
  <c r="H27" i="3"/>
  <c r="H34" i="3"/>
  <c r="H14" i="2"/>
  <c r="I68" i="26"/>
  <c r="I49" i="26"/>
  <c r="I66" i="26"/>
  <c r="I47" i="26"/>
  <c r="I64" i="26"/>
  <c r="I70" i="26"/>
  <c r="I55" i="26"/>
  <c r="I40" i="26"/>
  <c r="H37" i="3"/>
  <c r="H19" i="3"/>
  <c r="H63" i="3"/>
  <c r="I51" i="26"/>
  <c r="I62" i="26"/>
  <c r="I39" i="26"/>
  <c r="I50" i="26"/>
  <c r="H49" i="3"/>
  <c r="I36" i="26"/>
  <c r="I32" i="26"/>
  <c r="I23" i="26"/>
  <c r="I37" i="26"/>
  <c r="I41" i="26"/>
  <c r="H33" i="3"/>
  <c r="I71" i="26"/>
  <c r="I52" i="26"/>
  <c r="H38" i="3"/>
  <c r="I67" i="26"/>
  <c r="I48" i="26"/>
  <c r="I33" i="26"/>
  <c r="I38" i="26"/>
  <c r="H23" i="3"/>
  <c r="I63" i="26"/>
  <c r="I61" i="26"/>
  <c r="I35" i="26"/>
  <c r="I24" i="26"/>
  <c r="I31" i="26"/>
  <c r="I27" i="26"/>
  <c r="I29" i="26"/>
  <c r="H41" i="3"/>
  <c r="H25" i="3"/>
  <c r="H22" i="3"/>
  <c r="I22" i="26"/>
  <c r="H60" i="3"/>
  <c r="I28" i="26"/>
  <c r="H26" i="3"/>
  <c r="I42" i="26"/>
  <c r="I26" i="26"/>
  <c r="H39" i="3"/>
  <c r="H20" i="3"/>
  <c r="H14" i="3"/>
  <c r="I65" i="26"/>
  <c r="H61" i="3"/>
  <c r="I69" i="26"/>
  <c r="H59" i="3"/>
  <c r="H18" i="3"/>
  <c r="H6" i="3"/>
  <c r="H15" i="3"/>
  <c r="H17" i="3"/>
  <c r="H29" i="3"/>
  <c r="I73" i="26"/>
  <c r="I54" i="26"/>
  <c r="H36" i="3"/>
  <c r="H65" i="3"/>
  <c r="H24" i="3"/>
  <c r="H3" i="3"/>
  <c r="H21" i="3"/>
  <c r="H12" i="3"/>
  <c r="H10" i="3"/>
  <c r="H51" i="3"/>
  <c r="H4" i="3"/>
  <c r="H45" i="3"/>
  <c r="H16" i="3"/>
  <c r="H42" i="3"/>
  <c r="H13" i="3"/>
  <c r="H30" i="3"/>
  <c r="H9" i="3"/>
  <c r="H11" i="3"/>
  <c r="H7" i="3"/>
  <c r="H5" i="3"/>
  <c r="F14" i="2"/>
  <c r="H31" i="3"/>
  <c r="H43" i="3"/>
  <c r="H32" i="3"/>
  <c r="H35" i="3"/>
  <c r="H66" i="3"/>
  <c r="H28" i="3"/>
  <c r="H40" i="3"/>
  <c r="H52" i="3"/>
  <c r="H53" i="3"/>
</calcChain>
</file>

<file path=xl/sharedStrings.xml><?xml version="1.0" encoding="utf-8"?>
<sst xmlns="http://schemas.openxmlformats.org/spreadsheetml/2006/main" count="12172" uniqueCount="2850">
  <si>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</si>
  <si>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</si>
  <si>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</si>
  <si>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</si>
  <si>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</si>
  <si>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</si>
  <si>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</si>
  <si>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</si>
  <si>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</si>
  <si>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</si>
  <si>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</si>
  <si>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</si>
  <si>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</si>
  <si>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</si>
  <si>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</si>
  <si>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</si>
  <si>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</si>
  <si>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</si>
  <si>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</si>
  <si>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</si>
  <si>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</si>
  <si>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</si>
  <si>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</si>
  <si>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</si>
  <si>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</si>
  <si>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</si>
  <si>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</si>
  <si>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</si>
  <si>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</si>
  <si>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</si>
  <si>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</si>
  <si>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</si>
  <si>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</si>
  <si>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</si>
  <si>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</si>
  <si>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</si>
  <si>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</si>
  <si>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</si>
  <si>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</si>
  <si>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</si>
  <si>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</si>
  <si>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</si>
  <si>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</si>
  <si>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</si>
  <si>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</si>
  <si>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</si>
  <si>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</si>
  <si>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</si>
  <si>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</si>
  <si>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</si>
  <si>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</si>
  <si>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</si>
  <si>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</si>
  <si>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</si>
  <si>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</si>
  <si>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</si>
  <si>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</si>
  <si>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</si>
  <si>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</si>
  <si>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</si>
  <si>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</si>
  <si>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</si>
  <si>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</si>
  <si>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</si>
  <si>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</si>
  <si>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</si>
  <si>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</si>
  <si>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</si>
  <si>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</si>
  <si>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</si>
  <si>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</si>
  <si>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</si>
  <si>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</si>
  <si>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</si>
  <si>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</si>
  <si>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</si>
  <si>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</si>
  <si>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</si>
  <si>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</si>
  <si>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</si>
  <si>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</si>
  <si>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</si>
  <si>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</si>
  <si>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</si>
  <si>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</si>
  <si>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</si>
  <si>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</si>
  <si>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</si>
  <si>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</si>
  <si>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</si>
  <si>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</si>
  <si>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</si>
  <si>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</si>
  <si>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</si>
  <si>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</si>
  <si>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</si>
  <si>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</si>
  <si>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</si>
  <si>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</si>
  <si>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</si>
  <si>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</si>
  <si>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</si>
  <si>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</si>
  <si>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</si>
  <si>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</si>
  <si>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</si>
  <si>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</si>
  <si>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</si>
  <si>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</si>
  <si>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</si>
  <si>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</si>
  <si>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</si>
  <si>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</si>
  <si>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</si>
  <si>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</si>
  <si>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SA</t>
  </si>
  <si>
    <t>展示協助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</si>
  <si>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</si>
  <si>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</si>
  <si>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</si>
  <si>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</si>
  <si>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</si>
  <si>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</si>
  <si>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</si>
  <si>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</si>
  <si>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</si>
  <si>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</si>
  <si>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</si>
  <si>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</si>
  <si>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</si>
  <si>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</si>
  <si>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</si>
  <si>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</si>
  <si>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</si>
  <si>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</si>
  <si>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</si>
  <si>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</si>
  <si>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</si>
  <si>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</si>
  <si>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</si>
  <si>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</si>
  <si>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</si>
  <si>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</si>
  <si>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</si>
  <si>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</si>
  <si>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</si>
  <si>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</si>
  <si>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</si>
  <si>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</si>
  <si>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</si>
  <si>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</si>
  <si>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</si>
  <si>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</si>
  <si>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</si>
  <si>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</si>
  <si>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</si>
  <si>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</si>
  <si>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</si>
  <si>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</si>
  <si>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</si>
  <si>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</si>
  <si>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</si>
  <si>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</si>
  <si>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</si>
  <si>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</si>
  <si>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1-E</t>
  </si>
  <si>
    <t>顧客基本資料維護(編號變更)</t>
  </si>
  <si>
    <t>L1111</t>
  </si>
  <si>
    <t>顧客基本資料維護-身份證號／統一編號變更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</si>
  <si>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</si>
  <si>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</si>
  <si>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</si>
  <si>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</si>
  <si>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</si>
  <si>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</si>
  <si>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</si>
  <si>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</si>
  <si>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</si>
  <si>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</si>
  <si>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</si>
  <si>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</si>
  <si>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</si>
  <si>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</si>
  <si>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</si>
  <si>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</si>
  <si>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</si>
  <si>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</si>
  <si>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</si>
  <si>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</si>
  <si>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</si>
  <si>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</si>
  <si>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</si>
  <si>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</si>
  <si>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</si>
  <si>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</si>
  <si>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</si>
  <si>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</si>
  <si>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</si>
  <si>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預計2021/11/12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</si>
  <si>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</si>
  <si>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</si>
  <si>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</si>
  <si>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</si>
  <si>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</si>
  <si>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</si>
  <si>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</si>
  <si>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</si>
  <si>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</si>
  <si>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</si>
  <si>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</si>
  <si>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</si>
  <si>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</si>
  <si>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</si>
  <si>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</si>
  <si>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</si>
  <si>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</si>
  <si>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</si>
  <si>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</si>
  <si>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</si>
  <si>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</si>
  <si>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</si>
  <si>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</si>
  <si>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</si>
  <si>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</si>
  <si>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</si>
  <si>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</si>
  <si>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</si>
  <si>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</si>
  <si>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</si>
  <si>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</si>
  <si>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</si>
  <si>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</si>
  <si>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</si>
  <si>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</si>
  <si>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</si>
  <si>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</si>
  <si>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</si>
  <si>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</si>
  <si>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</si>
  <si>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</si>
  <si>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</si>
  <si>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</si>
  <si>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</si>
  <si>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</si>
  <si>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</si>
  <si>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</si>
  <si>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</si>
  <si>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</si>
  <si>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</si>
  <si>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</si>
  <si>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</si>
  <si>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</si>
  <si>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</si>
  <si>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</si>
  <si>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</si>
  <si>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</si>
  <si>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</si>
  <si>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</si>
  <si>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</si>
  <si>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</si>
  <si>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</si>
  <si>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</si>
  <si>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</si>
  <si>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</si>
  <si>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</si>
  <si>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</si>
  <si>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</si>
  <si>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</si>
  <si>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</si>
  <si>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</si>
  <si>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</si>
  <si>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</si>
  <si>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</si>
  <si>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</si>
  <si>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</si>
  <si>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</si>
  <si>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</si>
  <si>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</si>
  <si>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</si>
  <si>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</si>
  <si>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</si>
  <si>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</si>
  <si>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</si>
  <si>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</si>
  <si>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</si>
  <si>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</si>
  <si>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</si>
  <si>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</si>
  <si>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</si>
  <si>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</si>
  <si>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</si>
  <si>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</si>
  <si>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</si>
  <si>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</si>
  <si>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</si>
  <si>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</si>
  <si>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</si>
  <si>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</si>
  <si>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</si>
  <si>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</si>
  <si>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</si>
  <si>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</si>
  <si>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</si>
  <si>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</si>
  <si>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</si>
  <si>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</si>
  <si>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</si>
  <si>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</si>
  <si>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</si>
  <si>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</si>
  <si>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</si>
  <si>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</si>
  <si>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</si>
  <si>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</si>
  <si>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</si>
  <si>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</si>
  <si>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</si>
  <si>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</si>
  <si>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</si>
  <si>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</si>
  <si>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</si>
  <si>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</si>
  <si>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</si>
  <si>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</si>
  <si>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</si>
  <si>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</si>
  <si>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</si>
  <si>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</si>
  <si>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</si>
  <si>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</si>
  <si>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</si>
  <si>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</si>
  <si>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</si>
  <si>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</si>
  <si>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</si>
  <si>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</si>
  <si>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</si>
  <si>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</si>
  <si>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</si>
  <si>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</si>
  <si>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</si>
  <si>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</si>
  <si>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</si>
  <si>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</si>
  <si>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</si>
  <si>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</si>
  <si>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</si>
  <si>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</si>
  <si>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</si>
  <si>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</si>
  <si>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</si>
  <si>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</si>
  <si>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</si>
  <si>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</si>
  <si>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</si>
  <si>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</si>
  <si>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</si>
  <si>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</si>
  <si>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</si>
  <si>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</si>
  <si>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</si>
  <si>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</si>
  <si>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</si>
  <si>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</si>
  <si>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</si>
  <si>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</si>
  <si>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</si>
  <si>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</si>
  <si>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</si>
  <si>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</si>
  <si>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</si>
  <si>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</si>
  <si>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</si>
  <si>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</si>
  <si>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</si>
  <si>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</si>
  <si>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</si>
  <si>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</si>
  <si>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</si>
  <si>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</si>
  <si>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</si>
  <si>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</si>
  <si>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</si>
  <si>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</si>
  <si>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</si>
  <si>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</si>
  <si>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</si>
  <si>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</si>
  <si>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</si>
  <si>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</si>
  <si>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</si>
  <si>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</si>
  <si>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</si>
  <si>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</si>
  <si>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</si>
  <si>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</si>
  <si>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</si>
  <si>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</si>
  <si>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</si>
  <si>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</si>
  <si>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</si>
  <si>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</si>
  <si>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</si>
  <si>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</si>
  <si>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</si>
  <si>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</si>
  <si>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</si>
  <si>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</si>
  <si>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</si>
  <si>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</si>
  <si>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</si>
  <si>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</si>
  <si>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</si>
  <si>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</si>
  <si>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</si>
  <si>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</si>
  <si>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</si>
  <si>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</si>
  <si>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</si>
  <si>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</si>
  <si>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</si>
  <si>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</si>
  <si>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</si>
  <si>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</si>
  <si>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</si>
  <si>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</si>
  <si>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</si>
  <si>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</si>
  <si>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</si>
  <si>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</si>
  <si>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</si>
  <si>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</si>
  <si>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</si>
  <si>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</si>
  <si>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</si>
  <si>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</si>
  <si>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</si>
  <si>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</si>
  <si>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</si>
  <si>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</si>
  <si>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</si>
  <si>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</si>
  <si>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</si>
  <si>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</si>
  <si>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</si>
  <si>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</si>
  <si>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</si>
  <si>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</si>
  <si>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</si>
  <si>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</si>
  <si>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</si>
  <si>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</si>
  <si>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</si>
  <si>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</si>
  <si>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</si>
  <si>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</si>
  <si>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</si>
  <si>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</si>
  <si>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</si>
  <si>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</si>
  <si>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</si>
  <si>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</si>
  <si>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</si>
  <si>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</si>
  <si>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</si>
  <si>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</si>
  <si>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</si>
  <si>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</si>
  <si>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</si>
  <si>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</si>
  <si>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</si>
  <si>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</si>
  <si>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</si>
  <si>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</si>
  <si>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</si>
  <si>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</si>
  <si>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</si>
  <si>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</si>
  <si>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</si>
  <si>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</si>
  <si>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</si>
  <si>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</si>
  <si>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</si>
  <si>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</si>
  <si>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</si>
  <si>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</si>
  <si>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</si>
  <si>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</si>
  <si>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</si>
  <si>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</si>
  <si>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</si>
  <si>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</si>
  <si>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</si>
  <si>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</si>
  <si>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</si>
  <si>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</si>
  <si>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</si>
  <si>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</si>
  <si>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</si>
  <si>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</si>
  <si>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</si>
  <si>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</si>
  <si>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</si>
  <si>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</si>
  <si>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</si>
  <si>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</si>
  <si>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</si>
  <si>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</si>
  <si>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</si>
  <si>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</si>
  <si>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</si>
  <si>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</si>
  <si>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</si>
  <si>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</si>
  <si>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</si>
  <si>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</si>
  <si>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</si>
  <si>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</si>
  <si>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</si>
  <si>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</si>
  <si>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</si>
  <si>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</si>
  <si>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</si>
  <si>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</si>
  <si>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</si>
  <si>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</si>
  <si>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</si>
  <si>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</si>
  <si>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</si>
  <si>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</si>
  <si>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</si>
  <si>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</si>
  <si>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</si>
  <si>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</si>
  <si>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</si>
  <si>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</si>
  <si>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</si>
  <si>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</si>
  <si>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</si>
  <si>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</si>
  <si>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</si>
  <si>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</si>
  <si>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</si>
  <si>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</si>
  <si>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</si>
  <si>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</si>
  <si>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</si>
  <si>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</si>
  <si>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</si>
  <si>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</si>
  <si>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</si>
  <si>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</si>
  <si>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</si>
  <si>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</si>
  <si>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</si>
  <si>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</si>
  <si>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</si>
  <si>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</si>
  <si>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</si>
  <si>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</si>
  <si>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</si>
  <si>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</si>
  <si>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</si>
  <si>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</si>
  <si>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</si>
  <si>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</si>
  <si>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</si>
  <si>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</si>
  <si>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</si>
  <si>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</si>
  <si>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</si>
  <si>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</si>
  <si>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</si>
  <si>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</si>
  <si>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</si>
  <si>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</si>
  <si>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</si>
  <si>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</si>
  <si>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</si>
  <si>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</si>
  <si>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</si>
  <si>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</si>
  <si>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</si>
  <si>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</si>
  <si>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</si>
  <si>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</si>
  <si>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</si>
  <si>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</si>
  <si>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</si>
  <si>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</si>
  <si>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</si>
  <si>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</si>
  <si>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</si>
  <si>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</si>
  <si>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</si>
  <si>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</si>
  <si>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</si>
  <si>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</si>
  <si>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</si>
  <si>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</si>
  <si>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</si>
  <si>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</si>
  <si>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</si>
  <si>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</si>
  <si>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</si>
  <si>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</si>
  <si>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</si>
  <si>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</si>
  <si>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</si>
  <si>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</si>
  <si>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</si>
  <si>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</si>
  <si>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</si>
  <si>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</si>
  <si>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</si>
  <si>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</si>
  <si>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</si>
  <si>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</si>
  <si>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</si>
  <si>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</si>
  <si>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</si>
  <si>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</si>
  <si>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</si>
  <si>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</si>
  <si>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</si>
  <si>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</si>
  <si>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</si>
  <si>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</si>
  <si>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</si>
  <si>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</si>
  <si>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</si>
  <si>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</si>
  <si>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</si>
  <si>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</si>
  <si>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</si>
  <si>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</si>
  <si>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</si>
  <si>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</si>
  <si>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</si>
  <si>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</si>
  <si>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</si>
  <si>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</si>
  <si>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</si>
  <si>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</si>
  <si>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</si>
  <si>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</si>
  <si>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</si>
  <si>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</si>
  <si>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</si>
  <si>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</si>
  <si>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</si>
  <si>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</si>
  <si>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</si>
  <si>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</si>
  <si>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</si>
  <si>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</si>
  <si>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</si>
  <si>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</si>
  <si>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</si>
  <si>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</si>
  <si>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</si>
  <si>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</si>
  <si>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</si>
  <si>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</si>
  <si>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</si>
  <si>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</si>
  <si>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</si>
  <si>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</si>
  <si>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</si>
  <si>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</si>
  <si>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</si>
  <si>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</si>
  <si>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</si>
  <si>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</si>
  <si>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</si>
  <si>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</si>
  <si>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</si>
  <si>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</si>
  <si>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</si>
  <si>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</si>
  <si>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</si>
  <si>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</si>
  <si>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</si>
  <si>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</si>
  <si>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</si>
  <si>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</si>
  <si>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</si>
  <si>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</si>
  <si>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</si>
  <si>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</si>
  <si>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</si>
  <si>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</si>
  <si>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</si>
  <si>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</si>
  <si>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</si>
  <si>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</si>
  <si>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</si>
  <si>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</si>
  <si>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</si>
  <si>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</si>
  <si>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</si>
  <si>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</si>
  <si>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</si>
  <si>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</si>
  <si>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</si>
  <si>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</si>
  <si>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</si>
  <si>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</si>
  <si>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</si>
  <si>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</si>
  <si>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</si>
  <si>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</si>
  <si>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</si>
  <si>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</si>
  <si>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</si>
  <si>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</si>
  <si>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</si>
  <si>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</si>
  <si>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</si>
  <si>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</si>
  <si>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</si>
  <si>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</si>
  <si>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</si>
  <si>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</si>
  <si>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</si>
  <si>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</si>
  <si>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</si>
  <si>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</si>
  <si>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</si>
  <si>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</si>
  <si>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</si>
  <si>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</si>
  <si>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</si>
  <si>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</si>
  <si>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</si>
  <si>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</si>
  <si>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</si>
  <si>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</si>
  <si>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</si>
  <si>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</si>
  <si>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</si>
  <si>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</si>
  <si>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</si>
  <si>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</si>
  <si>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</si>
  <si>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</si>
  <si>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</si>
  <si>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</si>
  <si>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</si>
  <si>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</si>
  <si>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</si>
  <si>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</si>
  <si>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</si>
  <si>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</si>
  <si>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</si>
  <si>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</si>
  <si>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</si>
  <si>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</si>
  <si>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</si>
  <si>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</si>
  <si>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</si>
  <si>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</si>
  <si>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</si>
  <si>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</si>
  <si>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</si>
  <si>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</si>
  <si>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</si>
  <si>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</si>
  <si>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</si>
  <si>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</si>
  <si>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</si>
  <si>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</si>
  <si>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</si>
  <si>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</si>
  <si>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</si>
  <si>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</si>
  <si>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</si>
  <si>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</si>
  <si>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</si>
  <si>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</si>
  <si>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</si>
  <si>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</si>
  <si>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</si>
  <si>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</si>
  <si>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</si>
  <si>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</si>
  <si>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</si>
  <si>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</si>
  <si>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</si>
  <si>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</si>
  <si>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</si>
  <si>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</si>
  <si>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</si>
  <si>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</si>
  <si>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</si>
  <si>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</si>
  <si>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</si>
  <si>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</si>
  <si>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</si>
  <si>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</si>
  <si>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</si>
  <si>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</si>
  <si>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</si>
  <si>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</si>
  <si>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</si>
  <si>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</si>
  <si>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</si>
  <si>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</si>
  <si>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</si>
  <si>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</si>
  <si>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</si>
  <si>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</si>
  <si>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</si>
  <si>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</si>
  <si>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</si>
  <si>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</si>
  <si>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</si>
  <si>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</si>
  <si>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</si>
  <si>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</si>
  <si>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</si>
  <si>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</si>
  <si>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</si>
  <si>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</si>
  <si>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</si>
  <si>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</si>
  <si>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</si>
  <si>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</si>
  <si>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</si>
  <si>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</si>
  <si>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</si>
  <si>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</si>
  <si>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</si>
  <si>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</si>
  <si>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</si>
  <si>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</si>
  <si>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</si>
  <si>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</si>
  <si>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</si>
  <si>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</si>
  <si>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</si>
  <si>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</si>
  <si>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</si>
  <si>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</si>
  <si>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</si>
  <si>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</si>
  <si>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</si>
  <si>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</si>
  <si>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</si>
  <si>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</si>
  <si>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</si>
  <si>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</si>
  <si>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</si>
  <si>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</si>
  <si>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</si>
  <si>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</si>
  <si>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</si>
  <si>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</si>
  <si>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</si>
  <si>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</si>
  <si>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</si>
  <si>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</si>
  <si>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</si>
  <si>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</si>
  <si>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</si>
  <si>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</si>
  <si>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</si>
  <si>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</si>
  <si>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</si>
  <si>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</si>
  <si>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</si>
  <si>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</si>
  <si>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</si>
  <si>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</si>
  <si>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</si>
  <si>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</si>
  <si>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</si>
  <si>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</si>
  <si>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</si>
  <si>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</si>
  <si>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</si>
  <si>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</si>
  <si>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</si>
  <si>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</si>
  <si>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</si>
  <si>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</si>
  <si>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</si>
  <si>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</si>
  <si>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</si>
  <si>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</si>
  <si>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</si>
  <si>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</si>
  <si>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</si>
  <si>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</si>
  <si>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</si>
  <si>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</si>
  <si>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</si>
  <si>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</si>
  <si>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</si>
  <si>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</si>
  <si>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</si>
  <si>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</si>
  <si>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</si>
  <si>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</si>
  <si>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</si>
  <si>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</si>
  <si>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</si>
  <si>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</si>
  <si>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</si>
  <si>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</si>
  <si>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</si>
  <si>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</si>
  <si>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</si>
  <si>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</si>
  <si>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</si>
  <si>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</si>
  <si>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</si>
  <si>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</si>
  <si>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</si>
  <si>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</si>
  <si>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</si>
  <si>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</si>
  <si>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</si>
  <si>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</si>
  <si>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</si>
  <si>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</si>
  <si>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</si>
  <si>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</si>
  <si>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</si>
  <si>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</si>
  <si>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</si>
  <si>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</si>
  <si>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</si>
  <si>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</si>
  <si>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</si>
  <si>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</si>
  <si>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</si>
  <si>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</si>
  <si>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</si>
  <si>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</si>
  <si>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</si>
  <si>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</si>
  <si>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</si>
  <si>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</si>
  <si>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</si>
  <si>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</si>
  <si>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</si>
  <si>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</si>
  <si>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</si>
  <si>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</si>
  <si>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</si>
  <si>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</si>
  <si>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</si>
  <si>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</si>
  <si>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</si>
  <si>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</si>
  <si>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</si>
  <si>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</si>
  <si>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</si>
  <si>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</si>
  <si>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</si>
  <si>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</si>
  <si>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</si>
  <si>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</si>
  <si>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</si>
  <si>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</si>
  <si>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</si>
  <si>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</si>
  <si>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</si>
  <si>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</si>
  <si>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</si>
  <si>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</si>
  <si>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</si>
  <si>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</si>
  <si>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</si>
  <si>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</si>
  <si>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</si>
  <si>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</si>
  <si>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</si>
  <si>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</si>
  <si>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</si>
  <si>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</si>
  <si>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</si>
  <si>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</si>
  <si>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</si>
  <si>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</si>
  <si>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</si>
  <si>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</si>
  <si>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</si>
  <si>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</si>
  <si>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</si>
  <si>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</si>
  <si>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</si>
  <si>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</si>
  <si>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</si>
  <si>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</si>
  <si>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</si>
  <si>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</si>
  <si>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</si>
  <si>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</si>
  <si>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</si>
  <si>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</si>
  <si>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</si>
  <si>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</si>
  <si>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</si>
  <si>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</si>
  <si>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</si>
  <si>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</si>
  <si>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</si>
  <si>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</si>
  <si>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</si>
  <si>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</si>
  <si>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</si>
  <si>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</si>
  <si>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</si>
  <si>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</si>
  <si>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</si>
  <si>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</si>
  <si>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</si>
  <si>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</si>
  <si>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</si>
  <si>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</si>
  <si>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</si>
  <si>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</si>
  <si>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</si>
  <si>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</si>
  <si>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</si>
  <si>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</si>
  <si>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</si>
  <si>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</si>
  <si>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</si>
  <si>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</si>
  <si>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</si>
  <si>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</si>
  <si>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</si>
  <si>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</si>
  <si>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</si>
  <si>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</si>
  <si>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</si>
  <si>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</si>
  <si>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</si>
  <si>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</si>
  <si>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</si>
  <si>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</si>
  <si>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</si>
  <si>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</si>
  <si>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</si>
  <si>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</si>
  <si>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</si>
  <si>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</si>
  <si>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</si>
  <si>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</si>
  <si>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</si>
  <si>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</si>
  <si>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</si>
  <si>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</si>
  <si>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</si>
  <si>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</si>
  <si>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</si>
  <si>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</si>
  <si>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</si>
  <si>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</si>
  <si>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</si>
  <si>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</si>
  <si>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</si>
  <si>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</si>
  <si>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</si>
  <si>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</si>
  <si>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</si>
  <si>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</si>
  <si>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</si>
  <si>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</si>
  <si>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</si>
  <si>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</si>
  <si>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</si>
  <si>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</si>
  <si>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</si>
  <si>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</si>
  <si>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</si>
  <si>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</si>
  <si>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</si>
  <si>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</si>
  <si>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</si>
  <si>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</si>
  <si>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</si>
  <si>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</si>
  <si>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</si>
  <si>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</si>
  <si>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</si>
  <si>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</si>
  <si>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</si>
  <si>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</si>
  <si>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</si>
  <si>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</si>
  <si>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</si>
  <si>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</si>
  <si>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</si>
  <si>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</si>
  <si>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</si>
  <si>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</si>
  <si>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</si>
  <si>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</si>
  <si>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</si>
  <si>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</si>
  <si>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</si>
  <si>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</si>
  <si>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</si>
  <si>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</si>
  <si>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</si>
  <si>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</si>
  <si>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</si>
  <si>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</si>
  <si>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</si>
  <si>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</si>
  <si>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</si>
  <si>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</si>
  <si>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</si>
  <si>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</si>
  <si>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</si>
  <si>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</si>
  <si>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</si>
  <si>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</si>
  <si>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</si>
  <si>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</si>
  <si>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</si>
  <si>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</si>
  <si>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</si>
  <si>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</si>
  <si>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</si>
  <si>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</si>
  <si>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</si>
  <si>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</si>
  <si>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</si>
  <si>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</si>
  <si>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</si>
  <si>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</si>
  <si>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</si>
  <si>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</si>
  <si>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</si>
  <si>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</si>
  <si>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</si>
  <si>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</si>
  <si>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</si>
  <si>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</si>
  <si>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</si>
  <si>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</si>
  <si>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</si>
  <si>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</si>
  <si>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</si>
  <si>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</si>
  <si>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</si>
  <si>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</si>
  <si>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</si>
  <si>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</si>
  <si>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</si>
  <si>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</si>
  <si>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</si>
  <si>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</si>
  <si>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</si>
  <si>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</si>
  <si>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</si>
  <si>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</si>
  <si>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</si>
  <si>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</si>
  <si>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</si>
  <si>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</si>
  <si>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</si>
  <si>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</si>
  <si>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</si>
  <si>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</si>
  <si>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</si>
  <si>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</si>
  <si>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</si>
  <si>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</si>
  <si>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</si>
  <si>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</si>
  <si>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</si>
  <si>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</si>
  <si>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</si>
  <si>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</si>
  <si>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</si>
  <si>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</si>
  <si>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</si>
  <si>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</si>
  <si>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</si>
  <si>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</si>
  <si>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</si>
  <si>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</si>
  <si>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</si>
  <si>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</si>
  <si>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</si>
  <si>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</si>
  <si>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</si>
  <si>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</si>
  <si>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</si>
  <si>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</si>
  <si>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</si>
  <si>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</si>
  <si>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</si>
  <si>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</si>
  <si>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</si>
  <si>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</si>
  <si>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</si>
  <si>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</si>
  <si>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</si>
  <si>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</si>
  <si>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</si>
  <si>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</si>
  <si>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</si>
  <si>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</si>
  <si>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</si>
  <si>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</si>
  <si>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</si>
  <si>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</si>
  <si>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</si>
  <si>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</si>
  <si>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</si>
  <si>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</si>
  <si>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</si>
  <si>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</si>
  <si>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</si>
  <si>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</si>
  <si>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</si>
  <si>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</si>
  <si>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</si>
  <si>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</si>
  <si>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</si>
  <si>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</si>
  <si>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</si>
  <si>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</si>
  <si>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</si>
  <si>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</si>
  <si>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</si>
  <si>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</si>
  <si>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</si>
  <si>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</si>
  <si>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</si>
  <si>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</si>
  <si>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</si>
  <si>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</si>
  <si>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</si>
  <si>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</si>
  <si>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</si>
  <si>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</si>
  <si>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</si>
  <si>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</si>
  <si>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</si>
  <si>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</si>
  <si>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</si>
  <si>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</si>
  <si>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</si>
  <si>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</si>
  <si>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</si>
  <si>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</si>
  <si>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</si>
  <si>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</si>
  <si>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</si>
  <si>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</si>
  <si>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</si>
  <si>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</si>
  <si>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</si>
  <si>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</si>
  <si>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</si>
  <si>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</si>
  <si>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</si>
  <si>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</si>
  <si>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</si>
  <si>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</si>
  <si>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</si>
  <si>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</si>
  <si>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</si>
  <si>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</si>
  <si>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</si>
  <si>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</si>
  <si>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</si>
  <si>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</si>
  <si>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</si>
  <si>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</si>
  <si>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</si>
  <si>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</si>
  <si>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</si>
  <si>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</si>
  <si>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</si>
  <si>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</si>
  <si>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</si>
  <si>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</si>
  <si>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</si>
  <si>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</si>
  <si>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</si>
  <si>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</si>
  <si>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</si>
  <si>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</si>
  <si>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</si>
  <si>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</si>
  <si>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</si>
  <si>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</si>
  <si>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</si>
  <si>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</si>
  <si>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</si>
  <si>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</si>
  <si>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</si>
  <si>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</si>
  <si>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</si>
  <si>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</si>
  <si>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</si>
  <si>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</si>
  <si>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</si>
  <si>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</si>
  <si>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</si>
  <si>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</si>
  <si>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</si>
  <si>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</si>
  <si>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</si>
  <si>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</si>
  <si>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</si>
  <si>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</si>
  <si>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</si>
  <si>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</si>
  <si>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</si>
  <si>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</si>
  <si>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</si>
  <si>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</si>
  <si>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</si>
  <si>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</si>
  <si>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</si>
  <si>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</si>
  <si>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</si>
  <si>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</si>
  <si>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</si>
  <si>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</si>
  <si>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</si>
  <si>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</si>
  <si>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</si>
  <si>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</si>
  <si>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</si>
  <si>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</si>
  <si>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</si>
  <si>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</si>
  <si>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</si>
  <si>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</si>
  <si>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</si>
  <si>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</si>
  <si>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</si>
  <si>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</si>
  <si>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</si>
  <si>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</si>
  <si>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</si>
  <si>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</si>
  <si>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</si>
  <si>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</si>
  <si>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</si>
  <si>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</si>
  <si>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</si>
  <si>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</si>
  <si>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</si>
  <si>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</si>
  <si>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</si>
  <si>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</si>
  <si>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</si>
  <si>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</si>
  <si>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</si>
  <si>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</si>
  <si>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</si>
  <si>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</si>
  <si>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</si>
  <si>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</si>
  <si>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</si>
  <si>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</si>
  <si>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</si>
  <si>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</si>
  <si>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</si>
  <si>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</si>
  <si>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</si>
  <si>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</si>
  <si>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</si>
  <si>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</si>
  <si>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</si>
  <si>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</si>
  <si>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</si>
  <si>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</si>
  <si>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</si>
  <si>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</si>
  <si>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</si>
  <si>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</si>
  <si>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</si>
  <si>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</si>
  <si>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</si>
  <si>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</si>
  <si>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</si>
  <si>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</si>
  <si>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</si>
  <si>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</si>
  <si>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</si>
  <si>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</si>
  <si>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</si>
  <si>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</si>
  <si>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</si>
  <si>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</si>
  <si>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</si>
  <si>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</si>
  <si>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</si>
  <si>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</si>
  <si>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</si>
  <si>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</si>
  <si>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</si>
  <si>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</si>
  <si>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</si>
  <si>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</si>
  <si>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</si>
  <si>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</si>
  <si>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</si>
  <si>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</si>
  <si>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</si>
  <si>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</si>
  <si>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</si>
  <si>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</si>
  <si>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</si>
  <si>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</si>
  <si>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</si>
  <si>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</si>
  <si>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</si>
  <si>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</si>
  <si>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</si>
  <si>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</si>
  <si>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</si>
  <si>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</si>
  <si>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</si>
  <si>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</si>
  <si>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</si>
  <si>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</si>
  <si>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</si>
  <si>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</si>
  <si>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</si>
  <si>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</si>
  <si>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</si>
  <si>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</si>
  <si>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</si>
  <si>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</si>
  <si>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</si>
  <si>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</si>
  <si>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</si>
  <si>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</si>
  <si>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</si>
  <si>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</si>
  <si>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</si>
  <si>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</si>
  <si>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</si>
  <si>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</si>
  <si>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</si>
  <si>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</si>
  <si>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</si>
  <si>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</si>
  <si>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</si>
  <si>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</si>
  <si>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</si>
  <si>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</si>
  <si>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</si>
  <si>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</si>
  <si>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</si>
  <si>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</si>
  <si>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</si>
  <si>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</si>
  <si>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</si>
  <si>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</si>
  <si>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</si>
  <si>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</si>
  <si>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</si>
  <si>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</si>
  <si>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</si>
  <si>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</si>
  <si>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</si>
  <si>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</si>
  <si>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</si>
  <si>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</si>
  <si>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</si>
  <si>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</si>
  <si>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</si>
  <si>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</si>
  <si>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</si>
  <si>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</si>
  <si>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</si>
  <si>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</si>
  <si>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</si>
  <si>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</si>
  <si>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</si>
  <si>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</si>
  <si>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</si>
  <si>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</si>
  <si>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</si>
  <si>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</si>
  <si>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</si>
  <si>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</si>
  <si>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</si>
  <si>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</si>
  <si>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</si>
  <si>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</si>
  <si>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</si>
  <si>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</si>
  <si>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</si>
  <si>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</si>
  <si>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</si>
  <si>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</si>
  <si>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</si>
  <si>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</si>
  <si>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</si>
  <si>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</si>
  <si>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</si>
  <si>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</si>
  <si>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</si>
  <si>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</si>
  <si>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</si>
  <si>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</si>
  <si>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</si>
  <si>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</si>
  <si>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</si>
  <si>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</si>
  <si>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</si>
  <si>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</si>
  <si>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</si>
  <si>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</si>
  <si>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</si>
  <si>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</si>
  <si>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</si>
  <si>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</si>
  <si>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</si>
  <si>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</si>
  <si>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</si>
  <si>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</si>
  <si>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</si>
  <si>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</si>
  <si>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</si>
  <si>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</si>
  <si>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</si>
  <si>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</si>
  <si>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</si>
  <si>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</si>
  <si>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</si>
  <si>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</si>
  <si>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</si>
  <si>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</si>
  <si>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</si>
  <si>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</si>
  <si>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</si>
  <si>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</si>
  <si>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</si>
  <si>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</si>
  <si>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</si>
  <si>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</si>
  <si>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</si>
  <si>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</si>
  <si>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</si>
  <si>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</si>
  <si>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</si>
  <si>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</si>
  <si>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</si>
  <si>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</si>
  <si>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</si>
  <si>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</si>
  <si>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</si>
  <si>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</si>
  <si>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</si>
  <si>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</si>
  <si>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</si>
  <si>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</si>
  <si>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</si>
  <si>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</si>
  <si>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</si>
  <si>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</si>
  <si>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</si>
  <si>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</si>
  <si>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</si>
  <si>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</si>
  <si>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</si>
  <si>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</si>
  <si>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</si>
  <si>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</si>
  <si>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</si>
  <si>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</si>
  <si>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</si>
  <si>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</si>
  <si>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</si>
  <si>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</si>
  <si>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</si>
  <si>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</si>
  <si>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</si>
  <si>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</si>
  <si>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</si>
  <si>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</si>
  <si>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</si>
  <si>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</si>
  <si>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</si>
  <si>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</si>
  <si>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</si>
  <si>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</si>
  <si>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</si>
  <si>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</si>
  <si>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</si>
  <si>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</si>
  <si>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</si>
  <si>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</si>
  <si>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</si>
  <si>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</si>
  <si>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</si>
  <si>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</si>
  <si>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</si>
  <si>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</si>
  <si>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</si>
  <si>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</si>
  <si>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</si>
  <si>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</si>
  <si>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</si>
  <si>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</si>
  <si>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</si>
  <si>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</si>
  <si>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</si>
  <si>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</si>
  <si>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</si>
  <si>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</si>
  <si>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</si>
  <si>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</si>
  <si>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</si>
  <si>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</si>
  <si>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</si>
  <si>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</si>
  <si>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</si>
  <si>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</si>
  <si>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</si>
  <si>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</si>
  <si>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</si>
  <si>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</si>
  <si>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</si>
  <si>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</si>
  <si>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</si>
  <si>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</si>
  <si>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</si>
  <si>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</si>
  <si>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</si>
  <si>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</si>
  <si>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</si>
  <si>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</si>
  <si>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</si>
  <si>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</si>
  <si>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</si>
  <si>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</si>
  <si>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</si>
  <si>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</si>
  <si>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</si>
  <si>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</si>
  <si>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</si>
  <si>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</si>
  <si>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</si>
  <si>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</si>
  <si>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</si>
  <si>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</si>
  <si>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</si>
  <si>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</si>
  <si>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</si>
  <si>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</si>
  <si>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</si>
  <si>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</si>
  <si>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</si>
  <si>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</si>
  <si>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</si>
  <si>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</si>
  <si>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</si>
  <si>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</si>
  <si>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</si>
  <si>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</si>
  <si>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</si>
  <si>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</si>
  <si>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</si>
  <si>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</si>
  <si>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</si>
  <si>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</si>
  <si>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</si>
  <si>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</si>
  <si>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</si>
  <si>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</si>
  <si>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</si>
  <si>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</si>
  <si>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</si>
  <si>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</si>
  <si>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</si>
  <si>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</si>
  <si>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</si>
  <si>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</si>
  <si>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</si>
  <si>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</si>
  <si>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</si>
  <si>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</si>
  <si>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</si>
  <si>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</si>
  <si>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</si>
  <si>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</si>
  <si>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</si>
  <si>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</si>
  <si>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</si>
  <si>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</si>
  <si>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</si>
  <si>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</si>
  <si>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</si>
  <si>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</si>
  <si>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</si>
  <si>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</si>
  <si>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</si>
  <si>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</si>
  <si>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</si>
  <si>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</si>
  <si>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</si>
  <si>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</si>
  <si>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</si>
  <si>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</si>
  <si>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</si>
  <si>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</si>
  <si>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</si>
  <si>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</si>
  <si>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</si>
  <si>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</si>
  <si>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</si>
  <si>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</si>
  <si>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</si>
  <si>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</si>
  <si>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</si>
  <si>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</si>
  <si>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</si>
  <si>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</si>
  <si>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</si>
  <si>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</si>
  <si>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</si>
  <si>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</si>
  <si>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</si>
  <si>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</si>
  <si>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</si>
  <si>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</si>
  <si>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</si>
  <si>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</si>
  <si>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</si>
  <si>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</si>
  <si>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</si>
  <si>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</si>
  <si>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</si>
  <si>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</si>
  <si>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</si>
  <si>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</si>
  <si>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</si>
  <si>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</si>
  <si>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</si>
  <si>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</si>
  <si>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</si>
  <si>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</si>
  <si>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</si>
  <si>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</si>
  <si>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</si>
  <si>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</si>
  <si>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</si>
  <si>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</si>
  <si>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</si>
  <si>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</si>
  <si>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</si>
  <si>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</si>
  <si>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</si>
  <si>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</si>
  <si>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</si>
  <si>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</si>
  <si>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</si>
  <si>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</si>
  <si>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</si>
  <si>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</si>
  <si>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</si>
  <si>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</si>
  <si>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</si>
  <si>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</si>
  <si>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</si>
  <si>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</si>
  <si>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</si>
  <si>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</si>
  <si>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</si>
  <si>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</si>
  <si>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</si>
  <si>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</si>
  <si>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</si>
  <si>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</si>
  <si>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</si>
  <si>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</si>
  <si>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</si>
  <si>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</si>
  <si>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</si>
  <si>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</si>
  <si>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</si>
  <si>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</si>
  <si>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</si>
  <si>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</si>
  <si>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</si>
  <si>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</si>
  <si>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</si>
  <si>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</si>
  <si>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</si>
  <si>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</si>
  <si>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</si>
  <si>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</si>
  <si>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</si>
  <si>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</si>
  <si>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</si>
  <si>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</si>
  <si>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</si>
  <si>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</si>
  <si>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</si>
  <si>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</si>
  <si>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</si>
  <si>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</si>
  <si>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</si>
  <si>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</si>
  <si>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</si>
  <si>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</si>
  <si>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</si>
  <si>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</si>
  <si>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</si>
  <si>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</si>
  <si>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</si>
  <si>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</si>
  <si>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</si>
  <si>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</si>
  <si>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</si>
  <si>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</si>
  <si>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</si>
  <si>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</si>
  <si>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</si>
  <si>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</si>
  <si>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</si>
  <si>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</si>
  <si>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</si>
  <si>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</si>
  <si>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</si>
  <si>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</si>
  <si>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</si>
  <si>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</si>
  <si>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</si>
  <si>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</si>
  <si>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</si>
  <si>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</si>
  <si>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</si>
  <si>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</si>
  <si>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</si>
  <si>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</si>
  <si>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</si>
  <si>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</si>
  <si>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</si>
  <si>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</si>
  <si>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</si>
  <si>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</si>
  <si>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</si>
  <si>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</si>
  <si>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</si>
  <si>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</si>
  <si>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</si>
  <si>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</si>
  <si>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</si>
  <si>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</si>
  <si>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</si>
  <si>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</si>
  <si>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</si>
  <si>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</si>
  <si>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</si>
  <si>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</si>
  <si>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</si>
  <si>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</si>
  <si>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</si>
  <si>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</si>
  <si>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</si>
  <si>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</si>
  <si>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</si>
  <si>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</si>
  <si>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</si>
  <si>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</si>
  <si>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</si>
  <si>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</si>
  <si>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</si>
  <si>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</si>
  <si>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</si>
  <si>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</si>
  <si>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</si>
  <si>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</si>
  <si>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</si>
  <si>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</si>
  <si>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</si>
  <si>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</si>
  <si>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</si>
  <si>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</si>
  <si>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</si>
  <si>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</si>
  <si>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</si>
  <si>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</si>
  <si>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</si>
  <si>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</si>
  <si>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</si>
  <si>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</si>
  <si>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</si>
  <si>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</si>
  <si>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</si>
  <si>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</si>
  <si>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</si>
  <si>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</si>
  <si>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</si>
  <si>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</si>
  <si>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</si>
  <si>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</si>
  <si>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</si>
  <si>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</si>
  <si>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</si>
  <si>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</si>
  <si>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</si>
  <si>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</si>
  <si>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</si>
  <si>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</si>
  <si>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</si>
  <si>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</si>
  <si>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</si>
  <si>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</si>
  <si>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</si>
  <si>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</si>
  <si>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</si>
  <si>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</si>
  <si>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</si>
  <si>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</si>
  <si>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</si>
  <si>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</si>
  <si>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</si>
  <si>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</si>
  <si>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</si>
  <si>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</si>
  <si>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</si>
  <si>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</si>
  <si>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</si>
  <si>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</si>
  <si>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</si>
  <si>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</si>
  <si>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</si>
  <si>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</si>
  <si>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</si>
  <si>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</si>
  <si>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</si>
  <si>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</si>
  <si>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</si>
  <si>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</si>
  <si>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</si>
  <si>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</si>
  <si>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</si>
  <si>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</si>
  <si>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</si>
  <si>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</si>
  <si>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</si>
  <si>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</si>
  <si>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</si>
  <si>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</si>
  <si>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</si>
  <si>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</si>
  <si>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</si>
  <si>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</si>
  <si>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</si>
  <si>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</si>
  <si>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</si>
  <si>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</si>
  <si>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</si>
  <si>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</si>
  <si>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</si>
  <si>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</si>
  <si>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</si>
  <si>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</si>
  <si>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</si>
  <si>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</si>
  <si>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</si>
  <si>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</si>
  <si>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</si>
  <si>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</si>
  <si>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</si>
  <si>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</si>
  <si>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</si>
  <si>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</si>
  <si>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</si>
  <si>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</si>
  <si>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</si>
  <si>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</si>
  <si>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</si>
  <si>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討論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</si>
  <si>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</si>
  <si>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</si>
  <si>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</si>
  <si>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</si>
  <si>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</si>
  <si>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</si>
  <si>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</si>
  <si>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</si>
  <si>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</si>
  <si>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</si>
  <si>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</si>
  <si>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</si>
  <si>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</si>
  <si>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</si>
  <si>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</si>
  <si>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</si>
  <si>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</si>
  <si>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</si>
  <si>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</si>
  <si>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</si>
  <si>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</si>
  <si>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</si>
  <si>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</si>
  <si>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</si>
  <si>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</si>
  <si>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</si>
  <si>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</si>
  <si>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</si>
  <si>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</si>
  <si>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</si>
  <si>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</si>
  <si>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</si>
  <si>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</si>
  <si>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</si>
  <si>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</si>
  <si>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</si>
  <si>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</si>
  <si>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</si>
  <si>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</si>
  <si>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</si>
  <si>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</si>
  <si>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</si>
  <si>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</si>
  <si>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</si>
  <si>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</si>
  <si>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</si>
  <si>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</si>
  <si>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</si>
  <si>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</si>
  <si>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</si>
  <si>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</si>
  <si>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</si>
  <si>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</si>
  <si>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</si>
  <si>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</si>
  <si>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</si>
  <si>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</si>
  <si>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</si>
  <si>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</si>
  <si>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</si>
  <si>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</si>
  <si>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</si>
  <si>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</si>
  <si>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</si>
  <si>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</si>
  <si>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</si>
  <si>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</si>
  <si>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</si>
  <si>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</si>
  <si>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</si>
  <si>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</si>
  <si>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</si>
  <si>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</si>
  <si>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</si>
  <si>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</si>
  <si>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</si>
  <si>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</si>
  <si>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</si>
  <si>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</si>
  <si>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</si>
  <si>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</si>
  <si>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</si>
  <si>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</si>
  <si>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</si>
  <si>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</si>
  <si>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</si>
  <si>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</si>
  <si>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</si>
  <si>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</si>
  <si>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</si>
  <si>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</si>
  <si>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</si>
  <si>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</si>
  <si>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</si>
  <si>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</si>
  <si>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</si>
  <si>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</si>
  <si>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</si>
  <si>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</si>
  <si>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</si>
  <si>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</si>
  <si>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</si>
  <si>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</si>
  <si>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</si>
  <si>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</si>
  <si>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</si>
  <si>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</si>
  <si>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</si>
  <si>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</si>
  <si>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</si>
  <si>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</si>
  <si>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</si>
  <si>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</si>
  <si>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</si>
  <si>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</si>
  <si>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</si>
  <si>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</si>
  <si>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</si>
  <si>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</si>
  <si>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</si>
  <si>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</si>
  <si>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</si>
  <si>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</si>
  <si>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</si>
  <si>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</si>
  <si>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</si>
  <si>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</si>
  <si>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</si>
  <si>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</si>
  <si>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</si>
  <si>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</si>
  <si>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</si>
  <si>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</si>
  <si>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</si>
  <si>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</si>
  <si>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</si>
  <si>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</si>
  <si>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</si>
  <si>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</si>
  <si>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</si>
  <si>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</si>
  <si>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</si>
  <si>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</si>
  <si>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</si>
  <si>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</si>
  <si>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</si>
  <si>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</si>
  <si>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</si>
  <si>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</si>
  <si>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</si>
  <si>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</si>
  <si>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</si>
  <si>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</si>
  <si>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</si>
  <si>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</si>
  <si>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</si>
  <si>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</si>
  <si>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</si>
  <si>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</si>
  <si>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</si>
  <si>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</si>
  <si>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</si>
  <si>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</si>
  <si>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</si>
  <si>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</si>
  <si>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</si>
  <si>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</si>
  <si>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</si>
  <si>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</si>
  <si>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</si>
  <si>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</si>
  <si>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</si>
  <si>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</si>
  <si>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</si>
  <si>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</si>
  <si>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</si>
  <si>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</si>
  <si>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</si>
  <si>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</si>
  <si>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</si>
  <si>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</si>
  <si>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</si>
  <si>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</si>
  <si>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</si>
  <si>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</si>
  <si>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</si>
  <si>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</si>
  <si>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</si>
  <si>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</si>
  <si>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</si>
  <si>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</si>
  <si>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</si>
  <si>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</si>
  <si>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</si>
  <si>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</si>
  <si>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</si>
  <si>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</si>
  <si>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</si>
  <si>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</si>
  <si>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</si>
  <si>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</si>
  <si>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</si>
  <si>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</si>
  <si>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</si>
  <si>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</si>
  <si>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</si>
  <si>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</si>
  <si>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</si>
  <si>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</si>
  <si>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</si>
  <si>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</si>
  <si>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</si>
  <si>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</si>
  <si>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</si>
  <si>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</si>
  <si>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</si>
  <si>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</si>
  <si>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</si>
  <si>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</si>
  <si>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</si>
  <si>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</si>
  <si>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</si>
  <si>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</si>
  <si>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</si>
  <si>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</si>
  <si>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</si>
  <si>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</si>
  <si>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</si>
  <si>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</si>
  <si>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</si>
  <si>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</si>
  <si>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</si>
  <si>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</si>
  <si>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</si>
  <si>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</si>
  <si>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</si>
  <si>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</si>
  <si>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</si>
  <si>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</si>
  <si>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</si>
  <si>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</si>
  <si>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</si>
  <si>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</si>
  <si>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</si>
  <si>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</si>
  <si>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</si>
  <si>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</si>
  <si>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</si>
  <si>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</si>
  <si>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</si>
  <si>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</si>
  <si>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</si>
  <si>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</si>
  <si>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</si>
  <si>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</si>
  <si>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</si>
  <si>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</si>
  <si>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</si>
  <si>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</si>
  <si>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</si>
  <si>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</si>
  <si>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</si>
  <si>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</si>
  <si>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</si>
  <si>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</si>
  <si>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</si>
  <si>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</si>
  <si>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</si>
  <si>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</si>
  <si>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</si>
  <si>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</si>
  <si>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</si>
  <si>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</si>
  <si>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</si>
  <si>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</si>
  <si>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</si>
  <si>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</si>
  <si>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</si>
  <si>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</si>
  <si>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</si>
  <si>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</si>
  <si>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</si>
  <si>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</si>
  <si>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</si>
  <si>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</si>
  <si>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</si>
  <si>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</si>
  <si>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</si>
  <si>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</si>
  <si>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</si>
  <si>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</si>
  <si>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</si>
  <si>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</si>
  <si>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</si>
  <si>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</si>
  <si>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</si>
  <si>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</si>
  <si>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</si>
  <si>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</si>
  <si>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</si>
  <si>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</si>
  <si>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</si>
  <si>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</si>
  <si>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</si>
  <si>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</si>
  <si>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</si>
  <si>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</si>
  <si>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</si>
  <si>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</si>
  <si>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</si>
  <si>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</si>
  <si>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</si>
  <si>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</si>
  <si>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</si>
  <si>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</si>
  <si>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</si>
  <si>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</si>
  <si>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</si>
  <si>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</si>
  <si>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</si>
  <si>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</si>
  <si>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</si>
  <si>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</si>
  <si>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</si>
  <si>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</si>
  <si>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</si>
  <si>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</si>
  <si>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</si>
  <si>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</si>
  <si>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</si>
  <si>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</si>
  <si>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</si>
  <si>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</si>
  <si>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</si>
  <si>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</si>
  <si>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</si>
  <si>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</si>
  <si>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</si>
  <si>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</si>
  <si>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</si>
  <si>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</si>
  <si>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</si>
  <si>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</si>
  <si>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</si>
  <si>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</si>
  <si>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</si>
  <si>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</si>
  <si>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</si>
  <si>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</si>
  <si>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</si>
  <si>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</si>
  <si>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</si>
  <si>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</si>
  <si>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</si>
  <si>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</si>
  <si>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</si>
  <si>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</si>
  <si>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</si>
  <si>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</si>
  <si>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</si>
  <si>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</si>
  <si>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</si>
  <si>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</si>
  <si>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</si>
  <si>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</si>
  <si>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</si>
  <si>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</si>
  <si>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</si>
  <si>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</si>
  <si>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</si>
  <si>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</si>
  <si>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</si>
  <si>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</si>
  <si>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</si>
  <si>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</si>
  <si>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</si>
  <si>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</si>
  <si>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</si>
  <si>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</si>
  <si>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</si>
  <si>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</si>
  <si>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</si>
  <si>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</si>
  <si>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</si>
  <si>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</si>
  <si>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</si>
  <si>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</si>
  <si>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</si>
  <si>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</si>
  <si>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</si>
  <si>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</si>
  <si>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</si>
  <si>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</si>
  <si>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</si>
  <si>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</si>
  <si>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</si>
  <si>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</si>
  <si>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</si>
  <si>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</si>
  <si>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</si>
  <si>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</si>
  <si>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</si>
  <si>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</si>
  <si>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</si>
  <si>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</si>
  <si>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</si>
  <si>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</si>
  <si>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</si>
  <si>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</si>
  <si>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</si>
  <si>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</si>
  <si>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</si>
  <si>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</si>
  <si>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</si>
  <si>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</si>
  <si>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</si>
  <si>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</si>
  <si>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</si>
  <si>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</si>
  <si>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</si>
  <si>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</si>
  <si>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</si>
  <si>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</si>
  <si>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</si>
  <si>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</si>
  <si>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</si>
  <si>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</si>
  <si>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L6503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</si>
  <si>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</si>
  <si>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</si>
  <si>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</si>
  <si>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</si>
  <si>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</si>
  <si>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</si>
  <si>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</si>
  <si>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</si>
  <si>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</si>
  <si>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</si>
  <si>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</si>
  <si>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</si>
  <si>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</si>
  <si>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</si>
  <si>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</si>
  <si>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</si>
  <si>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</si>
  <si>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</si>
  <si>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</si>
  <si>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</si>
  <si>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</si>
  <si>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</si>
  <si>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</si>
  <si>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</si>
  <si>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</si>
  <si>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</si>
  <si>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</si>
  <si>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</si>
  <si>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</si>
  <si>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</si>
  <si>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</si>
  <si>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</si>
  <si>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</si>
  <si>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</si>
  <si>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</si>
  <si>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</si>
  <si>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</si>
  <si>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</si>
  <si>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</si>
  <si>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</si>
  <si>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</si>
  <si>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</si>
  <si>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</si>
  <si>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</si>
  <si>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</si>
  <si>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</si>
  <si>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</si>
  <si>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</si>
  <si>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</si>
  <si>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</si>
  <si>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</si>
  <si>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</si>
  <si>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</si>
  <si>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</si>
  <si>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</si>
  <si>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</si>
  <si>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</si>
  <si>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</si>
  <si>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</si>
  <si>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</si>
  <si>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</si>
  <si>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</si>
  <si>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</si>
  <si>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</si>
  <si>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</si>
  <si>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</si>
  <si>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</si>
  <si>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</si>
  <si>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</si>
  <si>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</si>
  <si>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</si>
  <si>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</si>
  <si>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</si>
  <si>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</si>
  <si>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</si>
  <si>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</si>
  <si>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</si>
  <si>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</si>
  <si>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</si>
  <si>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</si>
  <si>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</si>
  <si>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</si>
  <si>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</si>
  <si>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</si>
  <si>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</si>
  <si>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</si>
  <si>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</si>
  <si>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</si>
  <si>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</si>
  <si>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</si>
  <si>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</si>
  <si>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</si>
  <si>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</si>
  <si>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</si>
  <si>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</si>
  <si>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</si>
  <si>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</si>
  <si>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</si>
  <si>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</si>
  <si>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</si>
  <si>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</si>
  <si>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</si>
  <si>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</si>
  <si>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</si>
  <si>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</si>
  <si>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</si>
  <si>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</si>
  <si>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</si>
  <si>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</si>
  <si>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</si>
  <si>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</si>
  <si>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</si>
  <si>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</si>
  <si>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</si>
  <si>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</si>
  <si>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</si>
  <si>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</si>
  <si>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</si>
  <si>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</si>
  <si>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</si>
  <si>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</si>
  <si>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</si>
  <si>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</si>
  <si>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</si>
  <si>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</si>
  <si>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</si>
  <si>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</si>
  <si>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</si>
  <si>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</si>
  <si>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</si>
  <si>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</si>
  <si>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</si>
  <si>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</si>
  <si>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</si>
  <si>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</si>
  <si>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</si>
  <si>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</si>
  <si>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</si>
  <si>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</si>
  <si>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</si>
  <si>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</si>
  <si>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</si>
  <si>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</si>
  <si>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</si>
  <si>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</si>
  <si>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</si>
  <si>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</si>
  <si>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</si>
  <si>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</si>
  <si>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</si>
  <si>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</si>
  <si>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</si>
  <si>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</si>
  <si>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</si>
  <si>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</si>
  <si>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</si>
  <si>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</si>
  <si>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</si>
  <si>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</si>
  <si>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</si>
  <si>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</si>
  <si>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</si>
  <si>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</si>
  <si>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</si>
  <si>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</si>
  <si>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</si>
  <si>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</si>
  <si>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</si>
  <si>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</si>
  <si>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</si>
  <si>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</si>
  <si>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</si>
  <si>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</si>
  <si>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</si>
  <si>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</si>
  <si>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</si>
  <si>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</si>
  <si>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</si>
  <si>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</si>
  <si>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</si>
  <si>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</si>
  <si>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</si>
  <si>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</si>
  <si>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</si>
  <si>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</si>
  <si>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</si>
  <si>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</si>
  <si>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</si>
  <si>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</si>
  <si>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</si>
  <si>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</si>
  <si>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</si>
  <si>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</si>
  <si>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</si>
  <si>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</si>
  <si>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</si>
  <si>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</si>
  <si>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</si>
  <si>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</si>
  <si>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</si>
  <si>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</si>
  <si>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</si>
  <si>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</si>
  <si>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</si>
  <si>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</si>
  <si>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</si>
  <si>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</si>
  <si>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</si>
  <si>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</si>
  <si>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</si>
  <si>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</si>
  <si>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</si>
  <si>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</si>
  <si>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</si>
  <si>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</si>
  <si>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</si>
  <si>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</si>
  <si>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</si>
  <si>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</si>
  <si>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</si>
  <si>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</si>
  <si>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</si>
  <si>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</si>
  <si>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</si>
  <si>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</si>
  <si>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</si>
  <si>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</si>
  <si>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</si>
  <si>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</si>
  <si>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</si>
  <si>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</si>
  <si>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</si>
  <si>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</si>
  <si>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</si>
  <si>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</si>
  <si>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</si>
  <si>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</si>
  <si>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</si>
  <si>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</si>
  <si>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</si>
  <si>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</si>
  <si>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</si>
  <si>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</si>
  <si>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</si>
  <si>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</si>
  <si>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</si>
  <si>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</si>
  <si>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</si>
  <si>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</si>
  <si>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</si>
  <si>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</si>
  <si>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</si>
  <si>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</si>
  <si>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</si>
  <si>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</si>
  <si>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</si>
  <si>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</si>
  <si>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</si>
  <si>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</si>
  <si>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</si>
  <si>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</si>
  <si>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</si>
  <si>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</si>
  <si>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</si>
  <si>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</si>
  <si>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</si>
  <si>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</si>
  <si>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</si>
  <si>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</si>
  <si>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</si>
  <si>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</si>
  <si>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</si>
  <si>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</si>
  <si>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</si>
  <si>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</si>
  <si>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</si>
  <si>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</si>
  <si>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</si>
  <si>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</si>
  <si>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</si>
  <si>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</si>
  <si>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</si>
  <si>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</si>
  <si>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</si>
  <si>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</si>
  <si>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</si>
  <si>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</si>
  <si>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</si>
  <si>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</si>
  <si>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</si>
  <si>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</si>
  <si>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</si>
  <si>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</si>
  <si>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</si>
  <si>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</si>
  <si>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</si>
  <si>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</si>
  <si>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</si>
  <si>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</si>
  <si>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</si>
  <si>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</si>
  <si>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</si>
  <si>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</si>
  <si>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</si>
  <si>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</si>
  <si>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</si>
  <si>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</si>
  <si>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</si>
  <si>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</si>
  <si>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</si>
  <si>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</si>
  <si>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</si>
  <si>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</si>
  <si>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</si>
  <si>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</si>
  <si>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</si>
  <si>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</si>
  <si>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</si>
  <si>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</si>
  <si>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</si>
  <si>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</si>
  <si>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</si>
  <si>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</si>
  <si>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</si>
  <si>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</si>
  <si>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</si>
  <si>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</si>
  <si>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</si>
  <si>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</si>
  <si>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</si>
  <si>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</si>
  <si>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</si>
  <si>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</si>
  <si>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</si>
  <si>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</si>
  <si>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</si>
  <si>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</si>
  <si>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</si>
  <si>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</si>
  <si>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</si>
  <si>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</si>
  <si>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L7202</t>
  </si>
  <si>
    <t>L7210</t>
  </si>
  <si>
    <t>商品分類資料維護</t>
  </si>
  <si>
    <t>L7204</t>
  </si>
  <si>
    <t>特殊客觀減損狀況維護</t>
  </si>
  <si>
    <t>產生JCIC日報媒體檔</t>
  </si>
  <si>
    <t>產生JCIC月報媒體檔</t>
  </si>
  <si>
    <t>新增2021/11/17</t>
    <phoneticPr fontId="2" type="noConversion"/>
  </si>
  <si>
    <t>蘇曉玲</t>
    <phoneticPr fontId="2" type="noConversion"/>
  </si>
  <si>
    <t>邵淑微</t>
    <phoneticPr fontId="2" type="noConversion"/>
  </si>
  <si>
    <t>PJ201800012_URS_1顧客管理作業_V1.42.docx</t>
    <phoneticPr fontId="2" type="noConversion"/>
  </si>
  <si>
    <t>開放查詢變更</t>
    <phoneticPr fontId="2" type="noConversion"/>
  </si>
  <si>
    <t>CUSP01 CU190</t>
    <phoneticPr fontId="2" type="noConversion"/>
  </si>
  <si>
    <t>蔡珮瑜</t>
    <phoneticPr fontId="2" type="noConversion"/>
  </si>
  <si>
    <t>L7913</t>
    <phoneticPr fontId="2" type="noConversion"/>
  </si>
  <si>
    <t>新增2021/11/18</t>
    <phoneticPr fontId="2" type="noConversion"/>
  </si>
  <si>
    <t>陳昱衡</t>
    <phoneticPr fontId="2" type="noConversion"/>
  </si>
  <si>
    <t>張金龍</t>
    <phoneticPr fontId="2" type="noConversion"/>
  </si>
  <si>
    <t>吳承憲</t>
    <phoneticPr fontId="2" type="noConversion"/>
  </si>
  <si>
    <t>施美娟</t>
    <phoneticPr fontId="2" type="noConversion"/>
  </si>
  <si>
    <t>L2604</t>
  </si>
  <si>
    <t>聯貸費用維護</t>
  </si>
  <si>
    <t>取消交易，2021/11/18會議User表示不使用</t>
    <phoneticPr fontId="2" type="noConversion"/>
  </si>
  <si>
    <t>5-2房貸專員業績統計作業</t>
  </si>
  <si>
    <t/>
  </si>
  <si>
    <t>User不使用(會議 2021/11/18)</t>
    <phoneticPr fontId="2" type="noConversion"/>
  </si>
  <si>
    <t>尹少玄</t>
    <phoneticPr fontId="2" type="noConversion"/>
  </si>
  <si>
    <t>PJ201800012_URS_2業務作業_V1.25.doc</t>
    <phoneticPr fontId="2" type="noConversion"/>
  </si>
  <si>
    <t>Eloan</t>
    <phoneticPr fontId="2" type="noConversion"/>
  </si>
  <si>
    <t>企金</t>
    <phoneticPr fontId="2" type="noConversion"/>
  </si>
  <si>
    <t>7.介接外部系統</t>
  </si>
  <si>
    <t>7.介接外部系統</t>
    <phoneticPr fontId="2" type="noConversion"/>
  </si>
  <si>
    <t>12月</t>
  </si>
  <si>
    <t>聯徵產品檔案匯出作業(MU1查詢人員名稱報送)</t>
    <phoneticPr fontId="2" type="noConversion"/>
  </si>
  <si>
    <t>am</t>
    <phoneticPr fontId="2" type="noConversion"/>
  </si>
  <si>
    <t>新增2021/11/17，B204 聯徵授信餘額日報檔、B211 聯徵每日授信餘額變動資料檔</t>
    <phoneticPr fontId="2" type="noConversion"/>
  </si>
  <si>
    <t>新增2021/11/17 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</si>
  <si>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鄧雪美</t>
    <phoneticPr fontId="2" type="noConversion"/>
  </si>
  <si>
    <t>4-6火險作業</t>
    <phoneticPr fontId="2" type="noConversion"/>
  </si>
  <si>
    <t>4-4銀行扣款作業(產出銀扣媒體作業)</t>
    <phoneticPr fontId="2" type="noConversion"/>
  </si>
  <si>
    <t>L4966</t>
    <phoneticPr fontId="2" type="noConversion"/>
  </si>
  <si>
    <t xml:space="preserve">火險佣金資料查詢             </t>
    <phoneticPr fontId="2" type="noConversion"/>
  </si>
  <si>
    <t>審後新增2021/11/19</t>
    <phoneticPr fontId="2" type="noConversion"/>
  </si>
  <si>
    <t>銀行扣款報表</t>
    <phoneticPr fontId="2" type="noConversion"/>
  </si>
  <si>
    <t>L4455</t>
    <phoneticPr fontId="2" type="noConversion"/>
  </si>
  <si>
    <t>4-2整批入帳作業(匯款轉帳、銀行/郵局扣款、支票兌現)</t>
  </si>
  <si>
    <t>4-2整批入帳作業(匯款轉帳、銀行/郵局扣款、支票兌現)</t>
    <phoneticPr fontId="2" type="noConversion"/>
  </si>
  <si>
    <t>邱怡婷</t>
    <phoneticPr fontId="2" type="noConversion"/>
  </si>
  <si>
    <t>程慧娟、鄧雪美</t>
    <phoneticPr fontId="2" type="noConversion"/>
  </si>
  <si>
    <t>違約損失率檔查詢</t>
    <phoneticPr fontId="2" type="noConversion"/>
  </si>
  <si>
    <t>違約損失率登錄</t>
    <phoneticPr fontId="2" type="noConversion"/>
  </si>
  <si>
    <t>３４號公報欄位清單產生作業</t>
    <phoneticPr fontId="2" type="noConversion"/>
  </si>
  <si>
    <t>ＩＦＲＳ９欄位清單產生作業</t>
    <phoneticPr fontId="2" type="noConversion"/>
  </si>
  <si>
    <t>L3600</t>
  </si>
  <si>
    <t>LC009</t>
  </si>
  <si>
    <t>需二審</t>
    <phoneticPr fontId="2" type="noConversion"/>
  </si>
  <si>
    <t>無調整</t>
    <phoneticPr fontId="2" type="noConversion"/>
  </si>
  <si>
    <t>審後新增</t>
    <phoneticPr fontId="2" type="noConversion"/>
  </si>
  <si>
    <t>L5101</t>
    <phoneticPr fontId="2" type="noConversion"/>
  </si>
  <si>
    <t>[可放款金額]欄位,修改時需重新自動計算</t>
    <phoneticPr fontId="2" type="noConversion"/>
  </si>
  <si>
    <t>L5903</t>
    <phoneticPr fontId="2" type="noConversion"/>
  </si>
  <si>
    <t>查詢條件,[借閱日期]欄位,預設為日曆日</t>
    <phoneticPr fontId="2" type="noConversion"/>
  </si>
  <si>
    <t>查詢結果,[歸還日期]欄位,若等於0,顯示空白</t>
    <phoneticPr fontId="2" type="noConversion"/>
  </si>
  <si>
    <t>L5103</t>
    <phoneticPr fontId="2" type="noConversion"/>
  </si>
  <si>
    <t>[借閱日期]、[歸還日期]欄位,預設為日曆日</t>
    <phoneticPr fontId="2" type="noConversion"/>
  </si>
  <si>
    <t>申請與歸還時,供經辦與審核人員夾檔上傳</t>
    <phoneticPr fontId="2" type="noConversion"/>
  </si>
  <si>
    <t>L5104</t>
    <phoneticPr fontId="2" type="noConversion"/>
  </si>
  <si>
    <t>列印功能,顯示浮水印</t>
    <phoneticPr fontId="2" type="noConversion"/>
  </si>
  <si>
    <t>查詢報表結果顯示增加[戶名]、[經辦姓名]</t>
    <phoneticPr fontId="2" type="noConversion"/>
  </si>
  <si>
    <t>查詢報表結果顯示增加[借閱日期]起訖日</t>
    <phoneticPr fontId="2" type="noConversion"/>
  </si>
  <si>
    <t>查詢條件,[報表種類]=[4,全部]時,無資料之報表,仍需顯示報表顯示無資料</t>
    <phoneticPr fontId="2" type="noConversion"/>
  </si>
  <si>
    <t>未歸還月報表,依[用途]分開顯示</t>
    <phoneticPr fontId="2" type="noConversion"/>
  </si>
  <si>
    <t>未歸還月報表,增加借閱日期欄位</t>
    <phoneticPr fontId="2" type="noConversion"/>
  </si>
  <si>
    <t>LC003</t>
    <phoneticPr fontId="2" type="noConversion"/>
  </si>
  <si>
    <t>放行交易</t>
    <phoneticPr fontId="2" type="noConversion"/>
  </si>
  <si>
    <t>查詢結果,[經辦]欄位,代號改為顯示經辦姓名</t>
    <phoneticPr fontId="2" type="noConversion"/>
  </si>
  <si>
    <t>L2076</t>
    <phoneticPr fontId="2" type="noConversion"/>
  </si>
  <si>
    <t>領取清償證明時,增加[用印申請書]夾檔上傳功能</t>
    <phoneticPr fontId="2" type="noConversion"/>
  </si>
  <si>
    <t>L8336</t>
    <phoneticPr fontId="2" type="noConversion"/>
  </si>
  <si>
    <t>電話提示部分改為紅字</t>
  </si>
  <si>
    <t>L8301~L8337</t>
    <phoneticPr fontId="2" type="noConversion"/>
  </si>
  <si>
    <t>若[異動]狀態只能選擇異動，則[交易代碼]自動改值為[C.異動]</t>
    <phoneticPr fontId="2" type="noConversion"/>
  </si>
  <si>
    <t>[帳號]欄位不需自動轉大寫</t>
    <phoneticPr fontId="2" type="noConversion"/>
  </si>
  <si>
    <t>增加[地址]欄位限輸入文數字檢核</t>
    <phoneticPr fontId="2" type="noConversion"/>
  </si>
  <si>
    <t>檔案名稱依照[109年度消費者債務清理條例]調整</t>
    <phoneticPr fontId="2" type="noConversion"/>
  </si>
  <si>
    <t>JCIC檔案匯出作業</t>
    <phoneticPr fontId="2" type="noConversion"/>
  </si>
  <si>
    <t>張嘉榮</t>
    <phoneticPr fontId="2" type="noConversion"/>
  </si>
  <si>
    <t>提供「受理調解機構代號」可輸入縣市代碼，並依照輸入內容帶出法院名稱或縣市名稱</t>
    <phoneticPr fontId="2" type="noConversion"/>
  </si>
  <si>
    <t>URS版本</t>
    <phoneticPr fontId="2" type="noConversion"/>
  </si>
  <si>
    <t>刪除整併說明</t>
    <phoneticPr fontId="2" type="noConversion"/>
  </si>
  <si>
    <t>PJ201800012_URS_6共同作業_V1.9</t>
  </si>
  <si>
    <t>PJ201800012_URS_6共同作業_V1.9</t>
    <phoneticPr fontId="2" type="noConversion"/>
  </si>
  <si>
    <t>PJ201800012_URS_5管理性作業_V1.3</t>
    <phoneticPr fontId="2" type="noConversion"/>
  </si>
  <si>
    <t>PJ201800012_URS_8遵循法令作業_V1.2</t>
  </si>
  <si>
    <t>PJ201800012_URS_9報表作業_V1.2</t>
  </si>
  <si>
    <t>新交易</t>
    <phoneticPr fontId="2" type="noConversion"/>
  </si>
  <si>
    <t xml:space="preserve">公職人員財產申報作業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</si>
</sst>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mm/dd"/>
    <numFmt numFmtId="184" formatCode="mm/dd;@"/>
    <numFmt numFmtId="185" formatCode="0.00_);[Red]\(0.00\)"/>
  </numFmts>
  <fonts count="7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7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430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51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5" fillId="13" borderId="0" xfId="0" applyNumberFormat="1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4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15" borderId="0" xfId="0" applyNumberFormat="1" applyFont="1" applyFill="1" applyAlignment="1">
      <alignment horizontal="center" vertical="top"/>
    </xf>
    <xf numFmtId="14" fontId="3" fillId="8" borderId="0" xfId="0" applyNumberFormat="1" applyFont="1" applyFill="1" applyAlignment="1">
      <alignment horizontal="center" vertical="top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7" fillId="13" borderId="0" xfId="0" applyNumberFormat="1" applyFont="1" applyFill="1" applyAlignment="1">
      <alignment horizontal="center" vertical="center" wrapText="1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3" fillId="0" borderId="0" xfId="0" applyNumberFormat="1" applyFont="1" applyAlignment="1">
      <alignment horizontal="right" vertical="top"/>
    </xf>
    <xf numFmtId="0" fontId="65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0" fontId="10" fillId="0" borderId="1" xfId="0" applyFont="1" applyBorder="1" applyAlignment="1">
      <alignment vertical="top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3" fillId="0" borderId="0" xfId="2" applyFont="1" applyAlignment="1">
      <alignment vertical="top"/>
    </xf>
    <xf numFmtId="0" fontId="0" fillId="0" borderId="0" xfId="0"/>
    <xf numFmtId="0" fontId="9" fillId="0" borderId="0" xfId="0" pivotButton="1" applyFont="1"/>
    <xf numFmtId="0" fontId="57" fillId="0" borderId="0" xfId="0" applyFont="1"/>
    <xf numFmtId="0" fontId="57" fillId="0" borderId="0" xfId="0" applyFont="1" applyAlignment="1">
      <alignment horizontal="center"/>
    </xf>
    <xf numFmtId="14" fontId="53" fillId="0" borderId="0" xfId="0" applyNumberFormat="1" applyFont="1" applyAlignment="1">
      <alignment horizontal="center" vertical="top" wrapText="1"/>
    </xf>
    <xf numFmtId="9" fontId="9" fillId="0" borderId="0" xfId="5" applyFont="1" applyAlignment="1">
      <alignment horizontal="center"/>
    </xf>
    <xf numFmtId="0" fontId="10" fillId="17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7" fontId="58" fillId="0" borderId="0" xfId="5" applyNumberFormat="1" applyFont="1" applyAlignment="1">
      <alignment horizontal="center"/>
    </xf>
    <xf numFmtId="178" fontId="58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79" fontId="3" fillId="0" borderId="0" xfId="0" applyNumberFormat="1" applyFont="1" applyAlignment="1">
      <alignment horizontal="center" vertical="top" wrapText="1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8" fillId="0" borderId="0" xfId="0" applyNumberFormat="1" applyFont="1" applyAlignment="1">
      <alignment vertical="center"/>
    </xf>
    <xf numFmtId="181" fontId="68" fillId="0" borderId="0" xfId="0" applyNumberFormat="1" applyFont="1" applyAlignment="1">
      <alignment horizontal="center" vertical="center"/>
    </xf>
    <xf numFmtId="182" fontId="69" fillId="0" borderId="0" xfId="0" applyNumberFormat="1" applyFont="1" applyAlignment="1">
      <alignment horizontal="left" vertical="center"/>
    </xf>
    <xf numFmtId="185" fontId="0" fillId="0" borderId="0" xfId="0" applyNumberFormat="1"/>
    <xf numFmtId="183" fontId="19" fillId="13" borderId="0" xfId="0" applyNumberFormat="1" applyFont="1" applyFill="1" applyAlignment="1">
      <alignment horizontal="left"/>
    </xf>
    <xf numFmtId="183" fontId="9" fillId="0" borderId="0" xfId="0" applyNumberFormat="1" applyFont="1" applyAlignment="1">
      <alignment horizontal="right"/>
    </xf>
    <xf numFmtId="183" fontId="14" fillId="13" borderId="0" xfId="0" applyNumberFormat="1" applyFont="1" applyFill="1" applyAlignment="1">
      <alignment horizontal="left"/>
    </xf>
    <xf numFmtId="183" fontId="14" fillId="13" borderId="0" xfId="0" applyNumberFormat="1" applyFont="1" applyFill="1" applyAlignment="1">
      <alignment horizontal="right"/>
    </xf>
    <xf numFmtId="183" fontId="23" fillId="13" borderId="0" xfId="0" applyNumberFormat="1" applyFont="1" applyFill="1" applyAlignment="1">
      <alignment horizontal="right"/>
    </xf>
    <xf numFmtId="183" fontId="9" fillId="13" borderId="0" xfId="0" applyNumberFormat="1" applyFont="1" applyFill="1" applyAlignment="1">
      <alignment horizontal="right"/>
    </xf>
    <xf numFmtId="183" fontId="9" fillId="7" borderId="0" xfId="0" applyNumberFormat="1" applyFont="1" applyFill="1" applyAlignment="1">
      <alignment horizontal="right"/>
    </xf>
    <xf numFmtId="184" fontId="9" fillId="0" borderId="0" xfId="0" applyNumberFormat="1" applyFont="1"/>
    <xf numFmtId="184" fontId="19" fillId="13" borderId="0" xfId="0" applyNumberFormat="1" applyFont="1" applyFill="1"/>
    <xf numFmtId="184" fontId="9" fillId="7" borderId="0" xfId="0" applyNumberFormat="1" applyFont="1" applyFill="1"/>
    <xf numFmtId="184" fontId="14" fillId="0" borderId="0" xfId="0" applyNumberFormat="1" applyFont="1"/>
    <xf numFmtId="184" fontId="14" fillId="13" borderId="0" xfId="0" applyNumberFormat="1" applyFont="1" applyFill="1"/>
    <xf numFmtId="184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10" fillId="17" borderId="0" xfId="0" applyNumberFormat="1" applyFont="1" applyFill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vertical="top"/>
    </xf>
    <xf numFmtId="0" fontId="0" fillId="0" borderId="0" xfId="0" applyNumberFormat="1"/>
    <xf numFmtId="0" fontId="9" fillId="0" borderId="0" xfId="0" applyNumberFormat="1" applyFont="1"/>
    <xf numFmtId="0" fontId="9" fillId="0" borderId="0" xfId="0" pivotButton="1" applyFont="1" applyAlignmen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14" fontId="3" fillId="0" borderId="0" xfId="0" applyNumberFormat="1" applyFont="1" applyFill="1" applyAlignment="1">
      <alignment horizontal="right" vertical="top"/>
    </xf>
    <xf numFmtId="14" fontId="3" fillId="0" borderId="0" xfId="0" applyNumberFormat="1" applyFont="1" applyFill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2" fillId="0" borderId="0" xfId="0" applyFont="1" applyAlignment="1">
      <alignment vertical="top"/>
    </xf>
    <xf numFmtId="14" fontId="72" fillId="0" borderId="0" xfId="0" applyNumberFormat="1" applyFont="1" applyAlignment="1">
      <alignment horizontal="right" vertical="top"/>
    </xf>
    <xf numFmtId="0" fontId="72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5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2" xfId="2" xr:uid="{00000000-0005-0000-0000-000004000000}"/>
    <cellStyle name="一般 2 2" xfId="7" xr:uid="{00000000-0005-0000-0000-000005000000}"/>
    <cellStyle name="一般 2 2 2" xfId="25" xr:uid="{00000000-0005-0000-0000-000006000000}"/>
    <cellStyle name="一般 2 2 3" xfId="18" xr:uid="{00000000-0005-0000-0000-000007000000}"/>
    <cellStyle name="一般 2 3" xfId="31" xr:uid="{00000000-0005-0000-0000-000008000000}"/>
    <cellStyle name="一般 3" xfId="8" xr:uid="{00000000-0005-0000-0000-000009000000}"/>
    <cellStyle name="一般 3 2" xfId="4" xr:uid="{00000000-0005-0000-0000-00000A000000}"/>
    <cellStyle name="一般 3 3" xfId="17" xr:uid="{00000000-0005-0000-0000-00000B000000}"/>
    <cellStyle name="一般 4" xfId="9" xr:uid="{00000000-0005-0000-0000-00000C000000}"/>
    <cellStyle name="一般 4 2" xfId="16" xr:uid="{00000000-0005-0000-0000-00000D000000}"/>
    <cellStyle name="一般 4 2 2" xfId="34" xr:uid="{D48A0907-9C51-4A8E-A9EC-D9E9F9752222}"/>
    <cellStyle name="一般 4 3" xfId="19" xr:uid="{00000000-0005-0000-0000-00000E000000}"/>
    <cellStyle name="一般 5" xfId="1" xr:uid="{00000000-0005-0000-0000-00000F000000}"/>
    <cellStyle name="一般 5 2" xfId="26" xr:uid="{00000000-0005-0000-0000-000010000000}"/>
    <cellStyle name="一般 5 3" xfId="20" xr:uid="{00000000-0005-0000-0000-000011000000}"/>
    <cellStyle name="一般 5 4" xfId="15" xr:uid="{00000000-0005-0000-0000-000012000000}"/>
    <cellStyle name="一般 6" xfId="3" xr:uid="{00000000-0005-0000-0000-000013000000}"/>
    <cellStyle name="一般 6 2" xfId="23" xr:uid="{00000000-0005-0000-0000-000014000000}"/>
    <cellStyle name="一般 6 2 2" xfId="29" xr:uid="{00000000-0005-0000-0000-000015000000}"/>
    <cellStyle name="一般 6 3" xfId="27" xr:uid="{00000000-0005-0000-0000-000016000000}"/>
    <cellStyle name="一般 6 4" xfId="21" xr:uid="{00000000-0005-0000-0000-000017000000}"/>
    <cellStyle name="一般 7" xfId="10" xr:uid="{00000000-0005-0000-0000-000018000000}"/>
    <cellStyle name="一般 7 2" xfId="28" xr:uid="{00000000-0005-0000-0000-000019000000}"/>
    <cellStyle name="一般 7 3" xfId="22" xr:uid="{00000000-0005-0000-0000-00001A000000}"/>
    <cellStyle name="一般 8" xfId="11" xr:uid="{00000000-0005-0000-0000-00001B000000}"/>
    <cellStyle name="一般 8 2" xfId="30" xr:uid="{00000000-0005-0000-0000-00001C000000}"/>
    <cellStyle name="一般 9" xfId="12" xr:uid="{00000000-0005-0000-0000-00001D000000}"/>
    <cellStyle name="一般 9 2" xfId="32" xr:uid="{00000000-0005-0000-0000-00001E000000}"/>
    <cellStyle name="百分比" xfId="5" builtinId="5"/>
    <cellStyle name="百分比 2" xfId="24" xr:uid="{00000000-0005-0000-0000-000020000000}"/>
    <cellStyle name="超連結" xfId="6" builtinId="8"/>
  </cellStyles>
  <dxfs count="17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55787" createdVersion="7" refreshedVersion="7" minRefreshableVersion="3" recordCount="522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3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273147" createdVersion="7" refreshedVersion="7" minRefreshableVersion="3" recordCount="522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504632" createdVersion="7" refreshedVersion="7" minRefreshableVersion="3" recordCount="524" xr:uid="{00000000-000A-0000-FFFF-FFFF02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62037" createdVersion="7" refreshedVersion="7" minRefreshableVersion="3" recordCount="84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0-01T00:00:00"/>
    <s v="李珮琪"/>
    <d v="2021-10-14T17:13:00"/>
    <d v="2021-10-18T17:54:00"/>
    <s v="蔡珮瑜"/>
    <m/>
    <m/>
    <m/>
    <m/>
    <s v="CUSP01 CU190"/>
    <s v="開放查詢變更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m/>
    <s v="預計2021/11/12"/>
    <m/>
    <m/>
    <s v="施美娟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Eloan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REF!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s v="新交易"/>
    <e v="#REF!"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e v="#REF!"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  <m/>
    <s v="放款服務課"/>
    <d v="2021-09-14T00:00:00"/>
    <m/>
    <m/>
    <m/>
    <m/>
    <m/>
    <m/>
    <m/>
    <s v="許慧玉"/>
    <m/>
    <m/>
    <m/>
    <m/>
    <s v="新交易"/>
    <s v="新交易"/>
    <e v="#REF!"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  <m/>
    <s v="放款推展課"/>
    <d v="2021-09-14T00:00:00"/>
    <m/>
    <m/>
    <m/>
    <m/>
    <m/>
    <m/>
    <m/>
    <s v="陳俞辛"/>
    <m/>
    <m/>
    <m/>
    <m/>
    <s v="新交易"/>
    <s v="新交易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s v="新交易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m/>
    <m/>
    <e v="#REF!"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  <m/>
    <s v="放款審查課"/>
    <s v=""/>
    <m/>
    <m/>
    <m/>
    <m/>
    <m/>
    <m/>
    <m/>
    <s v="施美娟"/>
    <m/>
    <m/>
    <m/>
    <m/>
    <e v="#N/A"/>
    <e v="#N/A"/>
    <e v="#REF!"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5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6" totalsRowShown="0" headerRowDxfId="173" dataDxfId="172" dataCellStyle="百分比">
  <autoFilter ref="A2:K66" xr:uid="{00000000-0009-0000-0100-000001000000}"/>
  <tableColumns count="11">
    <tableColumn id="1" xr3:uid="{00000000-0010-0000-0000-000001000000}" name="日期" dataDxfId="171"/>
    <tableColumn id="2" xr3:uid="{00000000-0010-0000-0000-000002000000}" name="週" dataDxfId="170">
      <calculatedColumnFormula>表格1[[#This Row],[日期]]</calculatedColumnFormula>
    </tableColumn>
    <tableColumn id="3" xr3:uid="{00000000-0010-0000-0000-000003000000}" name="合計數" dataDxfId="169">
      <calculatedColumnFormula>COUNTA(URS確認!E:E)-1</calculatedColumnFormula>
    </tableColumn>
    <tableColumn id="4" xr3:uid="{00000000-0010-0000-0000-000004000000}" name="累計預估" dataDxfId="168">
      <calculatedColumnFormula>COUNTIF(URS確認!K:K,"&lt;"&amp;A3+1)</calculatedColumnFormula>
    </tableColumn>
    <tableColumn id="5" xr3:uid="{00000000-0010-0000-0000-000005000000}" name="累計完成" dataDxfId="167">
      <calculatedColumnFormula>COUNTIF(URS確認!L:L,"&lt;"&amp;A3+1)</calculatedColumnFormula>
    </tableColumn>
    <tableColumn id="12" xr3:uid="{00000000-0010-0000-0000-00000C000000}" name="本周預計" dataDxfId="166">
      <calculatedColumnFormula>D7-D2</calculatedColumnFormula>
    </tableColumn>
    <tableColumn id="13" xr3:uid="{00000000-0010-0000-0000-00000D000000}" name="本周完成" dataDxfId="165">
      <calculatedColumnFormula>E7-E2</calculatedColumnFormula>
    </tableColumn>
    <tableColumn id="14" xr3:uid="{00000000-0010-0000-0000-00000E000000}" name="進度" dataDxfId="16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2" dataCellStyle="百分比">
      <calculatedColumnFormula>表格1[[#This Row],[累計完成]]/表格1[[#This Row],[合計數]]</calculatedColumnFormula>
    </tableColumn>
    <tableColumn id="10" xr3:uid="{00000000-0010-0000-0000-00000A000000}" name="欄1" dataDxfId="16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23" totalsRowShown="0" headerRowDxfId="160" dataDxfId="159">
  <autoFilter ref="A1:AN523" xr:uid="{00000000-0009-0000-0100-000002000000}">
    <filterColumn colId="8">
      <filters>
        <filter val="楊智誠"/>
      </filters>
    </filterColumn>
  </autoFilter>
  <tableColumns count="40">
    <tableColumn id="2" xr3:uid="{00000000-0010-0000-0100-000002000000}" name="Eric" dataDxfId="158"/>
    <tableColumn id="1" xr3:uid="{00000000-0010-0000-0100-000001000000}" name="業務流程" dataDxfId="157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6"/>
    <tableColumn id="26" xr3:uid="{00000000-0010-0000-0100-00001A000000}" name="流程" dataDxfId="155"/>
    <tableColumn id="5" xr3:uid="{00000000-0010-0000-0100-000005000000}" name="功能代號" dataDxfId="154"/>
    <tableColumn id="9" xr3:uid="{00000000-0010-0000-0100-000009000000}" name="功能名稱/說明" dataDxfId="153"/>
    <tableColumn id="38" xr3:uid="{00000000-0010-0000-0100-000026000000}" name="刪除整併說明" dataDxfId="152"/>
    <tableColumn id="4" xr3:uid="{00000000-0010-0000-0100-000004000000}" name="SA" dataDxfId="151"/>
    <tableColumn id="11" xr3:uid="{00000000-0010-0000-0100-00000B000000}" name="展示協助" dataDxfId="150"/>
    <tableColumn id="37" xr3:uid="{00000000-0010-0000-0100-000025000000}" name="URS版本" dataDxfId="149"/>
    <tableColumn id="3" xr3:uid="{00000000-0010-0000-0100-000003000000}" name="預計展示" dataDxfId="148"/>
    <tableColumn id="18" xr3:uid="{00000000-0010-0000-0100-000012000000}" name="實際展示" dataDxfId="147"/>
    <tableColumn id="24" xr3:uid="{00000000-0010-0000-0100-000018000000}" name="URS調整" dataDxfId="14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5"/>
    <tableColumn id="21" xr3:uid="{00000000-0010-0000-0100-000015000000}" name="User" dataDxfId="144"/>
    <tableColumn id="7" xr3:uid="{00000000-0010-0000-0100-000007000000}" name="User2" dataDxfId="143"/>
    <tableColumn id="8" xr3:uid="{00000000-0010-0000-0100-000008000000}" name="段式" dataDxfId="142"/>
    <tableColumn id="10" xr3:uid="{00000000-0010-0000-0100-00000A000000}" name="經辦等級" dataDxfId="141"/>
    <tableColumn id="12" xr3:uid="{00000000-0010-0000-0100-00000C000000}" name="授權" dataDxfId="140"/>
    <tableColumn id="13" xr3:uid="{00000000-0010-0000-0100-00000D000000}" name="訂正" dataDxfId="139"/>
    <tableColumn id="14" xr3:uid="{00000000-0010-0000-0100-00000E000000}" name="修正" dataDxfId="138"/>
    <tableColumn id="16" xr3:uid="{00000000-0010-0000-0100-000010000000}" name="帳務" dataDxfId="137"/>
    <tableColumn id="17" xr3:uid="{00000000-0010-0000-0100-000011000000}" name="額度" dataDxfId="136"/>
    <tableColumn id="15" xr3:uid="{00000000-0010-0000-0100-00000F000000}" name="執行單位" dataDxfId="135">
      <calculatedColumnFormula>VLOOKUP(功能_33[[#This Row],[User]],SKL放款!A:G,7,FALSE)</calculatedColumnFormula>
    </tableColumn>
    <tableColumn id="32" xr3:uid="{00000000-0010-0000-0100-000020000000}" name="完成URS程式_x000a_(審閱+2W)" dataDxfId="134">
      <calculatedColumnFormula>IF(功能_33[[#This Row],[實際展示]]="","",功能_33[[#This Row],[實際展示]]+14)</calculatedColumnFormula>
    </tableColumn>
    <tableColumn id="34" xr3:uid="{00000000-0010-0000-0100-000022000000}" name="URS交二審" dataDxfId="133"/>
    <tableColumn id="31" xr3:uid="{00000000-0010-0000-0100-00001F000000}" name="二審預排" dataDxfId="132"/>
    <tableColumn id="36" xr3:uid="{00000000-0010-0000-0100-000024000000}" name="二審實際" dataDxfId="131"/>
    <tableColumn id="27" xr3:uid="{00000000-0010-0000-0100-00001B000000}" name="正式_x000a_交付審查" dataDxfId="130"/>
    <tableColumn id="29" xr3:uid="{00000000-0010-0000-0100-00001D000000}" name="IT審核人" dataDxfId="129"/>
    <tableColumn id="6" xr3:uid="{00000000-0010-0000-0100-000006000000}" name="收到IT_x000a_審查意見" dataDxfId="128"/>
    <tableColumn id="35" xr3:uid="{00000000-0010-0000-0100-000023000000}" name="回覆IT_x000a_審查意見" dataDxfId="127"/>
    <tableColumn id="33" xr3:uid="{00000000-0010-0000-0100-000021000000}" name="User審閱人" dataDxfId="12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5"/>
    <tableColumn id="39" xr3:uid="{00000000-0010-0000-0100-000027000000}" name="回覆User審查意見" dataDxfId="124"/>
    <tableColumn id="25" xr3:uid="{00000000-0010-0000-0100-000019000000}" name="送出簽核檢核日" dataDxfId="123"/>
    <tableColumn id="19" xr3:uid="{00000000-0010-0000-0100-000013000000}" name="覆測日" dataDxfId="122"/>
    <tableColumn id="23" xr3:uid="{00000000-0010-0000-0100-000017000000}" name="AS400入口" dataDxfId="121">
      <calculatedColumnFormula>VLOOKUP(功能_33[[#This Row],[功能代號]],'[4]20211001'!$A:$J,8,FALSE)</calculatedColumnFormula>
    </tableColumn>
    <tableColumn id="41" xr3:uid="{00000000-0010-0000-0100-000029000000}" name="AS400名稱" dataDxfId="120">
      <calculatedColumnFormula>VLOOKUP(功能_33[[#This Row],[功能代號]],'[4]20211001'!$A:$J,9,FALSE)</calculatedColumnFormula>
    </tableColumn>
    <tableColumn id="42" xr3:uid="{00000000-0010-0000-0100-00002A000000}" name="需二審" dataDxfId="119">
      <calculatedColumnFormula>VLOOKUP(功能_33[[#This Row],[功能代號]],工作表2!B:B,1,FALSE)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2" totalsRowShown="0" headerRowDxfId="42" dataDxfId="41">
  <autoFilter ref="A2:V22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2" bestFit="1" customWidth="1"/>
    <col min="2" max="8" width="11.375" style="151" bestFit="1" customWidth="1"/>
    <col min="9" max="9" width="11.375" style="152" bestFit="1" customWidth="1"/>
    <col min="10" max="10" width="8.625" style="152" bestFit="1" customWidth="1"/>
    <col min="11" max="11" width="11.375" style="152" bestFit="1" customWidth="1"/>
    <col min="12" max="12" width="12.625" style="152" bestFit="1" customWidth="1"/>
    <col min="13" max="14" width="11.375" style="152" bestFit="1" customWidth="1"/>
    <col min="15" max="15" width="12.625" style="152" bestFit="1" customWidth="1"/>
    <col min="16" max="22" width="11.375" style="152" bestFit="1" customWidth="1"/>
    <col min="23" max="25" width="8.75" style="152" customWidth="1"/>
    <col min="26" max="16384" width="8.75" style="152"/>
  </cols>
  <sheetData>
    <row r="1" spans="1:22" s="154" customFormat="1">
      <c r="A1" s="150" t="s">
        <v>0</v>
      </c>
      <c r="B1" s="154">
        <v>44396</v>
      </c>
      <c r="C1" s="154">
        <v>44397</v>
      </c>
      <c r="D1" s="154">
        <v>44398</v>
      </c>
      <c r="E1" s="154">
        <v>44399</v>
      </c>
      <c r="F1" s="154">
        <v>44400</v>
      </c>
      <c r="G1" s="154">
        <v>44403</v>
      </c>
      <c r="H1" s="154">
        <v>44404</v>
      </c>
      <c r="I1" s="154">
        <v>44405</v>
      </c>
      <c r="J1" s="154">
        <v>44410</v>
      </c>
      <c r="K1" s="154">
        <v>44431</v>
      </c>
      <c r="L1" s="154">
        <v>44432</v>
      </c>
      <c r="M1" s="154">
        <v>44433</v>
      </c>
      <c r="N1" s="154">
        <v>44434</v>
      </c>
      <c r="O1" s="154">
        <v>44435</v>
      </c>
      <c r="P1" s="154">
        <v>44438</v>
      </c>
      <c r="Q1" s="154">
        <v>44439</v>
      </c>
      <c r="R1" s="154">
        <v>44447</v>
      </c>
      <c r="S1" s="154">
        <v>44448</v>
      </c>
      <c r="T1" s="154" t="s">
        <v>1</v>
      </c>
      <c r="U1" s="154" t="s">
        <v>2</v>
      </c>
      <c r="V1" s="154">
        <v>44453</v>
      </c>
    </row>
    <row r="2" spans="1:22" ht="27.6">
      <c r="A2" s="150" t="s">
        <v>3</v>
      </c>
      <c r="B2" s="151" t="s">
        <v>4</v>
      </c>
      <c r="C2" s="151" t="s">
        <v>4</v>
      </c>
      <c r="D2" s="151" t="s">
        <v>4</v>
      </c>
      <c r="E2" s="151" t="s">
        <v>4</v>
      </c>
      <c r="F2" s="151" t="s">
        <v>4</v>
      </c>
      <c r="G2" s="151" t="s">
        <v>4</v>
      </c>
      <c r="H2" s="151" t="s">
        <v>4</v>
      </c>
      <c r="I2" s="151" t="s">
        <v>4</v>
      </c>
      <c r="K2" s="151" t="s">
        <v>5</v>
      </c>
      <c r="L2" s="151" t="s">
        <v>5</v>
      </c>
      <c r="M2" s="153" t="s">
        <v>5</v>
      </c>
      <c r="N2" s="153" t="s">
        <v>5</v>
      </c>
      <c r="O2" s="153" t="s">
        <v>5</v>
      </c>
      <c r="P2" s="153" t="s">
        <v>5</v>
      </c>
      <c r="Q2" s="153" t="s">
        <v>5</v>
      </c>
      <c r="R2" s="153" t="s">
        <v>5</v>
      </c>
      <c r="S2" s="153" t="s">
        <v>5</v>
      </c>
      <c r="T2" s="153" t="s">
        <v>5</v>
      </c>
      <c r="U2" s="153" t="s">
        <v>5</v>
      </c>
      <c r="V2" s="153" t="s">
        <v>5</v>
      </c>
    </row>
    <row r="3" spans="1:22" ht="27.6">
      <c r="A3" s="155" t="s">
        <v>6</v>
      </c>
      <c r="B3" s="151" t="s">
        <v>7</v>
      </c>
      <c r="C3" s="151" t="s">
        <v>8</v>
      </c>
      <c r="D3" s="151" t="s">
        <v>8</v>
      </c>
      <c r="E3" s="151" t="s">
        <v>8</v>
      </c>
      <c r="F3" s="151" t="s">
        <v>8</v>
      </c>
      <c r="G3" s="151" t="s">
        <v>8</v>
      </c>
      <c r="H3" s="151" t="s">
        <v>8</v>
      </c>
      <c r="I3" s="151" t="s">
        <v>8</v>
      </c>
      <c r="K3" s="151" t="s">
        <v>4</v>
      </c>
      <c r="L3" s="151" t="s">
        <v>4</v>
      </c>
      <c r="M3" s="153" t="s">
        <v>4</v>
      </c>
      <c r="N3" s="153" t="s">
        <v>4</v>
      </c>
      <c r="O3" s="153" t="s">
        <v>4</v>
      </c>
      <c r="P3" s="153" t="s">
        <v>4</v>
      </c>
      <c r="Q3" s="153" t="s">
        <v>4</v>
      </c>
      <c r="R3" s="153" t="s">
        <v>4</v>
      </c>
      <c r="S3" s="153" t="s">
        <v>4</v>
      </c>
      <c r="T3" s="153" t="s">
        <v>4</v>
      </c>
      <c r="U3" s="153" t="s">
        <v>4</v>
      </c>
      <c r="V3" s="153" t="s">
        <v>4</v>
      </c>
    </row>
    <row r="4" spans="1:22">
      <c r="B4" s="151" t="s">
        <v>9</v>
      </c>
      <c r="C4" s="151" t="s">
        <v>7</v>
      </c>
      <c r="D4" s="151" t="s">
        <v>7</v>
      </c>
      <c r="E4" s="151" t="s">
        <v>7</v>
      </c>
      <c r="F4" s="151" t="s">
        <v>7</v>
      </c>
      <c r="G4" s="151" t="s">
        <v>7</v>
      </c>
      <c r="H4" s="151" t="s">
        <v>7</v>
      </c>
      <c r="I4" s="151" t="s">
        <v>7</v>
      </c>
      <c r="K4" s="151" t="s">
        <v>8</v>
      </c>
      <c r="L4" s="151" t="s">
        <v>10</v>
      </c>
      <c r="M4" s="153" t="s">
        <v>10</v>
      </c>
      <c r="N4" s="153" t="s">
        <v>10</v>
      </c>
      <c r="O4" s="153" t="s">
        <v>10</v>
      </c>
      <c r="P4" s="153" t="s">
        <v>10</v>
      </c>
      <c r="Q4" s="153" t="s">
        <v>10</v>
      </c>
      <c r="R4" s="153" t="s">
        <v>8</v>
      </c>
      <c r="S4" s="153" t="s">
        <v>8</v>
      </c>
      <c r="T4" s="153" t="s">
        <v>8</v>
      </c>
      <c r="U4" s="153" t="s">
        <v>8</v>
      </c>
      <c r="V4" s="153" t="s">
        <v>8</v>
      </c>
    </row>
    <row r="5" spans="1:22">
      <c r="B5" s="151" t="s">
        <v>11</v>
      </c>
      <c r="C5" s="151" t="s">
        <v>12</v>
      </c>
      <c r="D5" s="151" t="s">
        <v>12</v>
      </c>
      <c r="E5" s="151" t="s">
        <v>12</v>
      </c>
      <c r="F5" s="151" t="s">
        <v>12</v>
      </c>
      <c r="G5" s="151" t="s">
        <v>12</v>
      </c>
      <c r="H5" s="151" t="s">
        <v>12</v>
      </c>
      <c r="I5" s="151" t="s">
        <v>12</v>
      </c>
      <c r="K5" s="151" t="s">
        <v>7</v>
      </c>
      <c r="L5" s="151" t="s">
        <v>8</v>
      </c>
      <c r="M5" s="153" t="s">
        <v>8</v>
      </c>
      <c r="N5" s="153" t="s">
        <v>8</v>
      </c>
      <c r="O5" s="153" t="s">
        <v>8</v>
      </c>
      <c r="P5" s="153" t="s">
        <v>8</v>
      </c>
      <c r="Q5" s="153" t="s">
        <v>8</v>
      </c>
      <c r="R5" s="153" t="s">
        <v>7</v>
      </c>
      <c r="S5" s="153" t="s">
        <v>7</v>
      </c>
      <c r="T5" s="153" t="s">
        <v>7</v>
      </c>
      <c r="U5" s="153" t="s">
        <v>7</v>
      </c>
      <c r="V5" s="153" t="s">
        <v>7</v>
      </c>
    </row>
    <row r="6" spans="1:22">
      <c r="B6" s="151" t="s">
        <v>13</v>
      </c>
      <c r="C6" s="151" t="s">
        <v>9</v>
      </c>
      <c r="D6" s="151" t="s">
        <v>9</v>
      </c>
      <c r="F6" s="151" t="s">
        <v>11</v>
      </c>
      <c r="G6" s="151" t="s">
        <v>9</v>
      </c>
      <c r="H6" s="151" t="s">
        <v>9</v>
      </c>
      <c r="I6" s="151" t="s">
        <v>11</v>
      </c>
      <c r="K6" s="151" t="s">
        <v>12</v>
      </c>
      <c r="L6" s="151" t="s">
        <v>7</v>
      </c>
      <c r="M6" s="153" t="s">
        <v>7</v>
      </c>
      <c r="N6" s="153" t="s">
        <v>7</v>
      </c>
      <c r="O6" s="153" t="s">
        <v>7</v>
      </c>
      <c r="P6" s="153" t="s">
        <v>7</v>
      </c>
      <c r="Q6" s="153" t="s">
        <v>7</v>
      </c>
      <c r="R6" s="153" t="s">
        <v>12</v>
      </c>
      <c r="S6" s="153" t="s">
        <v>12</v>
      </c>
      <c r="T6" s="153" t="s">
        <v>12</v>
      </c>
      <c r="U6" s="153" t="s">
        <v>12</v>
      </c>
      <c r="V6" s="153" t="s">
        <v>12</v>
      </c>
    </row>
    <row r="7" spans="1:22">
      <c r="C7" s="151" t="s">
        <v>11</v>
      </c>
      <c r="D7" s="151" t="s">
        <v>11</v>
      </c>
      <c r="G7" s="151" t="s">
        <v>11</v>
      </c>
      <c r="H7" s="151" t="s">
        <v>11</v>
      </c>
      <c r="I7" s="151"/>
      <c r="K7" s="151" t="s">
        <v>10</v>
      </c>
      <c r="L7" s="151" t="s">
        <v>12</v>
      </c>
      <c r="M7" s="153" t="s">
        <v>12</v>
      </c>
      <c r="N7" s="153" t="s">
        <v>12</v>
      </c>
      <c r="O7" s="153" t="s">
        <v>12</v>
      </c>
      <c r="P7" s="153" t="s">
        <v>12</v>
      </c>
      <c r="Q7" s="153" t="s">
        <v>12</v>
      </c>
      <c r="R7" s="153" t="s">
        <v>10</v>
      </c>
      <c r="S7" s="153" t="s">
        <v>10</v>
      </c>
      <c r="T7" s="153" t="s">
        <v>10</v>
      </c>
      <c r="U7" s="153" t="s">
        <v>10</v>
      </c>
      <c r="V7" s="153" t="s">
        <v>10</v>
      </c>
    </row>
    <row r="8" spans="1:22" ht="27.6">
      <c r="K8" s="151" t="s">
        <v>9</v>
      </c>
      <c r="L8" s="151" t="s">
        <v>9</v>
      </c>
      <c r="M8" s="153" t="s">
        <v>9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9</v>
      </c>
      <c r="V8" s="153" t="s">
        <v>9</v>
      </c>
    </row>
    <row r="9" spans="1:22">
      <c r="K9" s="151" t="s">
        <v>11</v>
      </c>
      <c r="L9" s="151" t="s">
        <v>11</v>
      </c>
      <c r="M9" s="153" t="s">
        <v>11</v>
      </c>
      <c r="N9" s="153" t="s">
        <v>11</v>
      </c>
      <c r="O9" s="153" t="s">
        <v>11</v>
      </c>
      <c r="P9" s="153" t="s">
        <v>11</v>
      </c>
      <c r="Q9" s="153" t="s">
        <v>14</v>
      </c>
      <c r="R9" s="153" t="s">
        <v>11</v>
      </c>
      <c r="S9" s="153" t="s">
        <v>11</v>
      </c>
      <c r="T9" s="153" t="s">
        <v>11</v>
      </c>
      <c r="U9" s="153" t="s">
        <v>11</v>
      </c>
      <c r="V9" s="153" t="s">
        <v>11</v>
      </c>
    </row>
    <row r="10" spans="1:22" ht="27.6">
      <c r="K10" s="151" t="s">
        <v>15</v>
      </c>
      <c r="L10" s="151" t="s">
        <v>16</v>
      </c>
      <c r="M10" s="153" t="s">
        <v>13</v>
      </c>
      <c r="N10" s="153" t="s">
        <v>15</v>
      </c>
      <c r="O10" s="153" t="s">
        <v>17</v>
      </c>
      <c r="P10" s="153" t="s">
        <v>18</v>
      </c>
      <c r="Q10" s="153" t="s">
        <v>11</v>
      </c>
      <c r="R10" s="153" t="s">
        <v>14</v>
      </c>
      <c r="S10" s="153" t="s">
        <v>14</v>
      </c>
      <c r="T10" s="153" t="s">
        <v>14</v>
      </c>
      <c r="U10" s="153" t="s">
        <v>14</v>
      </c>
      <c r="V10" s="153" t="s">
        <v>14</v>
      </c>
    </row>
    <row r="11" spans="1:22">
      <c r="L11" s="151" t="s">
        <v>19</v>
      </c>
      <c r="M11" s="153" t="s">
        <v>20</v>
      </c>
      <c r="N11" s="153" t="s">
        <v>21</v>
      </c>
      <c r="O11" s="153" t="s">
        <v>13</v>
      </c>
      <c r="Q11" s="153" t="s">
        <v>18</v>
      </c>
      <c r="R11" s="153" t="s">
        <v>22</v>
      </c>
      <c r="S11" s="153" t="s">
        <v>23</v>
      </c>
      <c r="T11" s="153" t="s">
        <v>23</v>
      </c>
      <c r="U11" s="153" t="s">
        <v>24</v>
      </c>
    </row>
    <row r="12" spans="1:22">
      <c r="K12" s="151"/>
      <c r="M12" s="153" t="s">
        <v>15</v>
      </c>
      <c r="N12" s="153" t="s">
        <v>25</v>
      </c>
      <c r="O12" s="151" t="s">
        <v>19</v>
      </c>
      <c r="Q12" s="153" t="s">
        <v>15</v>
      </c>
      <c r="S12" s="153" t="s">
        <v>22</v>
      </c>
      <c r="T12" s="153" t="s">
        <v>22</v>
      </c>
    </row>
    <row r="13" spans="1:22">
      <c r="N13" s="153" t="s">
        <v>26</v>
      </c>
      <c r="O13" s="153" t="s">
        <v>27</v>
      </c>
      <c r="Q13" s="153" t="s">
        <v>27</v>
      </c>
    </row>
    <row r="14" spans="1:22">
      <c r="K14" s="151"/>
      <c r="Q14" s="153" t="s">
        <v>20</v>
      </c>
    </row>
    <row r="15" spans="1:22">
      <c r="Q15" s="153" t="s">
        <v>22</v>
      </c>
    </row>
    <row r="16" spans="1:22">
      <c r="Q16" s="153" t="s">
        <v>28</v>
      </c>
    </row>
    <row r="17" spans="17:17">
      <c r="Q17" s="15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ColWidth="9" defaultRowHeight="15"/>
  <cols>
    <col min="1" max="1" width="5.75" style="309" customWidth="1"/>
    <col min="2" max="2" width="5.125" style="314" customWidth="1"/>
    <col min="3" max="3" width="4.625" style="314" customWidth="1"/>
    <col min="4" max="4" width="6.25" style="314" bestFit="1" customWidth="1"/>
    <col min="5" max="5" width="5.375" style="314" customWidth="1"/>
    <col min="6" max="6" width="4.875" style="314" customWidth="1"/>
    <col min="7" max="7" width="4.375" style="315" customWidth="1"/>
    <col min="8" max="8" width="6.25" style="314" customWidth="1"/>
    <col min="9" max="9" width="11.375" style="314" bestFit="1" customWidth="1"/>
    <col min="10" max="10" width="11.75" style="310" bestFit="1" customWidth="1"/>
    <col min="11" max="11" width="10" style="310" customWidth="1"/>
    <col min="12" max="12" width="9.875" style="310" customWidth="1"/>
    <col min="13" max="13" width="8.125" style="310" hidden="1" customWidth="1"/>
    <col min="14" max="14" width="10.375" style="316" customWidth="1"/>
    <col min="15" max="15" width="5.75" style="317" hidden="1" customWidth="1"/>
    <col min="16" max="16" width="5" style="318" customWidth="1"/>
    <col min="17" max="17" width="9.75" style="318" bestFit="1" customWidth="1"/>
    <col min="18" max="18" width="6.375" style="318" hidden="1" customWidth="1"/>
    <col min="19" max="19" width="10.25" style="318" customWidth="1"/>
    <col min="20" max="20" width="9.75" style="305" customWidth="1"/>
    <col min="21" max="21" width="8.75" style="311" customWidth="1"/>
    <col min="22" max="24" width="9" style="311" customWidth="1"/>
    <col min="25" max="16384" width="9" style="311"/>
  </cols>
  <sheetData>
    <row r="1" spans="1:22">
      <c r="A1" s="213" t="s">
        <v>29</v>
      </c>
    </row>
    <row r="2" spans="1:22" s="215" customFormat="1" ht="38.25" customHeight="1">
      <c r="A2" s="319" t="s">
        <v>30</v>
      </c>
      <c r="B2" s="320" t="s">
        <v>31</v>
      </c>
      <c r="C2" s="319" t="s">
        <v>32</v>
      </c>
      <c r="D2" s="321" t="s">
        <v>33</v>
      </c>
      <c r="E2" s="321" t="s">
        <v>34</v>
      </c>
      <c r="F2" s="321" t="s">
        <v>35</v>
      </c>
      <c r="G2" s="321" t="s">
        <v>36</v>
      </c>
      <c r="H2" s="319" t="s">
        <v>37</v>
      </c>
      <c r="I2" s="319" t="s">
        <v>38</v>
      </c>
      <c r="J2" s="319" t="s">
        <v>39</v>
      </c>
      <c r="K2" s="256" t="s">
        <v>40</v>
      </c>
      <c r="L2" s="256" t="s">
        <v>41</v>
      </c>
      <c r="M2" s="256" t="s">
        <v>42</v>
      </c>
      <c r="N2" s="256" t="s">
        <v>43</v>
      </c>
      <c r="O2" s="256" t="s">
        <v>44</v>
      </c>
      <c r="P2" s="256" t="s">
        <v>45</v>
      </c>
      <c r="Q2" s="256" t="s">
        <v>46</v>
      </c>
      <c r="R2" s="256" t="s">
        <v>47</v>
      </c>
      <c r="S2" s="256" t="s">
        <v>48</v>
      </c>
      <c r="T2" s="322" t="s">
        <v>49</v>
      </c>
      <c r="U2" s="256" t="s">
        <v>50</v>
      </c>
      <c r="V2" s="214"/>
    </row>
    <row r="3" spans="1:22" s="47" customFormat="1" ht="25.5" customHeight="1">
      <c r="A3" s="239" t="s">
        <v>51</v>
      </c>
      <c r="B3" s="323">
        <v>16</v>
      </c>
      <c r="C3" s="323">
        <v>16</v>
      </c>
      <c r="D3" s="240">
        <f>C3/B3</f>
        <v>1</v>
      </c>
      <c r="E3" s="323">
        <v>16</v>
      </c>
      <c r="F3" s="240">
        <f>E3/B3</f>
        <v>1</v>
      </c>
      <c r="G3" s="323">
        <v>16</v>
      </c>
      <c r="H3" s="240">
        <f>G3/B3</f>
        <v>1</v>
      </c>
      <c r="I3" s="241" t="s">
        <v>52</v>
      </c>
      <c r="J3" s="242" t="s">
        <v>53</v>
      </c>
      <c r="K3" s="239">
        <v>44481</v>
      </c>
      <c r="L3" s="239">
        <v>44483</v>
      </c>
      <c r="M3" s="323">
        <v>14</v>
      </c>
      <c r="N3" s="239">
        <f>K3+3</f>
        <v>44484</v>
      </c>
      <c r="O3" s="243">
        <v>14</v>
      </c>
      <c r="P3" s="240">
        <f>O3/M3</f>
        <v>1</v>
      </c>
      <c r="Q3" s="240"/>
      <c r="R3" s="244"/>
      <c r="S3" s="239"/>
      <c r="T3" s="261">
        <v>44484</v>
      </c>
      <c r="U3" s="245"/>
      <c r="V3" s="246"/>
    </row>
    <row r="4" spans="1:22" s="217" customFormat="1" ht="14.55" customHeight="1">
      <c r="A4" s="248" t="s">
        <v>54</v>
      </c>
      <c r="B4" s="324">
        <v>15</v>
      </c>
      <c r="C4" s="324"/>
      <c r="D4" s="324"/>
      <c r="E4" s="324"/>
      <c r="F4" s="324"/>
      <c r="G4" s="324">
        <v>14</v>
      </c>
      <c r="H4" s="324"/>
      <c r="I4" s="324"/>
      <c r="J4" s="249">
        <v>44470</v>
      </c>
      <c r="K4" s="249">
        <v>44481</v>
      </c>
      <c r="L4" s="249">
        <v>44509</v>
      </c>
      <c r="M4" s="324">
        <v>14</v>
      </c>
      <c r="N4" s="249">
        <v>44512</v>
      </c>
      <c r="O4" s="250">
        <v>14</v>
      </c>
      <c r="P4" s="251"/>
      <c r="Q4" s="304">
        <v>44509</v>
      </c>
      <c r="R4" s="250">
        <v>7</v>
      </c>
      <c r="S4" s="249">
        <v>44515</v>
      </c>
      <c r="T4" s="252"/>
      <c r="U4" s="252"/>
      <c r="V4" s="216"/>
    </row>
    <row r="5" spans="1:22" s="217" customFormat="1" ht="15" customHeight="1">
      <c r="A5" s="248" t="s">
        <v>55</v>
      </c>
      <c r="B5" s="324">
        <v>15</v>
      </c>
      <c r="C5" s="324"/>
      <c r="D5" s="324"/>
      <c r="E5" s="324"/>
      <c r="F5" s="324"/>
      <c r="G5" s="324">
        <v>14</v>
      </c>
      <c r="H5" s="324"/>
      <c r="I5" s="324"/>
      <c r="J5" s="249">
        <v>44470</v>
      </c>
      <c r="K5" s="249">
        <v>44491</v>
      </c>
      <c r="L5" s="249">
        <v>44495</v>
      </c>
      <c r="M5" s="324">
        <v>2</v>
      </c>
      <c r="N5" s="260">
        <v>44495</v>
      </c>
      <c r="O5" s="250">
        <v>2</v>
      </c>
      <c r="P5" s="251">
        <f>O5/M5</f>
        <v>1</v>
      </c>
      <c r="Q5" s="251"/>
      <c r="R5" s="251"/>
      <c r="S5" s="249">
        <v>44497</v>
      </c>
      <c r="T5" s="252"/>
      <c r="U5" s="252"/>
      <c r="V5" s="216"/>
    </row>
    <row r="6" spans="1:22" s="47" customFormat="1" ht="15" customHeight="1">
      <c r="A6" s="239" t="s">
        <v>56</v>
      </c>
      <c r="B6" s="323">
        <v>80</v>
      </c>
      <c r="C6" s="323">
        <v>80</v>
      </c>
      <c r="D6" s="240">
        <f>C6/B6</f>
        <v>1</v>
      </c>
      <c r="E6" s="323">
        <v>55</v>
      </c>
      <c r="F6" s="240">
        <f>E6/B6</f>
        <v>0.6875</v>
      </c>
      <c r="G6" s="323"/>
      <c r="H6" s="240"/>
      <c r="I6" s="241"/>
      <c r="J6" s="239"/>
      <c r="K6" s="239"/>
      <c r="L6" s="239"/>
      <c r="M6" s="323"/>
      <c r="N6" s="239">
        <f>T6-7</f>
        <v>44543</v>
      </c>
      <c r="O6" s="243"/>
      <c r="P6" s="240"/>
      <c r="Q6" s="240"/>
      <c r="R6" s="240"/>
      <c r="S6" s="239"/>
      <c r="T6" s="245">
        <v>44550</v>
      </c>
      <c r="U6" s="245"/>
      <c r="V6" s="246"/>
    </row>
    <row r="7" spans="1:22" s="47" customFormat="1" ht="15" customHeight="1">
      <c r="A7" s="239" t="s">
        <v>57</v>
      </c>
      <c r="B7" s="323">
        <v>36</v>
      </c>
      <c r="C7" s="323">
        <v>36</v>
      </c>
      <c r="D7" s="240">
        <f>C7/B7</f>
        <v>1</v>
      </c>
      <c r="E7" s="323">
        <v>36</v>
      </c>
      <c r="F7" s="240">
        <f>E7/B7</f>
        <v>1</v>
      </c>
      <c r="G7" s="323"/>
      <c r="H7" s="240"/>
      <c r="I7" s="241" t="s">
        <v>58</v>
      </c>
      <c r="J7" s="242">
        <v>44512</v>
      </c>
      <c r="K7" s="239"/>
      <c r="L7" s="239"/>
      <c r="M7" s="323"/>
      <c r="N7" s="239"/>
      <c r="O7" s="243"/>
      <c r="P7" s="240"/>
      <c r="Q7" s="240"/>
      <c r="R7" s="240"/>
      <c r="S7" s="239"/>
      <c r="T7" s="261">
        <v>44515</v>
      </c>
      <c r="U7" s="245"/>
      <c r="V7" s="246"/>
    </row>
    <row r="8" spans="1:22" s="47" customFormat="1" ht="15" customHeight="1">
      <c r="A8" s="239" t="s">
        <v>59</v>
      </c>
      <c r="B8" s="323">
        <v>71</v>
      </c>
      <c r="C8" s="323">
        <v>71</v>
      </c>
      <c r="D8" s="240">
        <f>C8/B8</f>
        <v>1</v>
      </c>
      <c r="E8" s="323">
        <v>10</v>
      </c>
      <c r="F8" s="240">
        <f>E8/B8</f>
        <v>0.14084507042253522</v>
      </c>
      <c r="G8" s="323"/>
      <c r="H8" s="240"/>
      <c r="I8" s="280" t="s">
        <v>60</v>
      </c>
      <c r="J8" s="239"/>
      <c r="K8" s="239"/>
      <c r="L8" s="239"/>
      <c r="M8" s="323"/>
      <c r="N8" s="239"/>
      <c r="O8" s="243"/>
      <c r="P8" s="240"/>
      <c r="Q8" s="240"/>
      <c r="R8" s="240"/>
      <c r="S8" s="239"/>
      <c r="T8" s="261">
        <v>44515</v>
      </c>
      <c r="U8" s="245"/>
      <c r="V8" s="246"/>
    </row>
    <row r="9" spans="1:22" s="47" customFormat="1" ht="15" customHeight="1">
      <c r="A9" s="239" t="s">
        <v>61</v>
      </c>
      <c r="B9" s="323">
        <v>88</v>
      </c>
      <c r="C9" s="323">
        <v>82</v>
      </c>
      <c r="D9" s="240">
        <f>C9/B9</f>
        <v>0.93181818181818177</v>
      </c>
      <c r="E9" s="323">
        <v>26</v>
      </c>
      <c r="F9" s="240">
        <f>E9/B9</f>
        <v>0.29545454545454547</v>
      </c>
      <c r="G9" s="323">
        <v>26</v>
      </c>
      <c r="H9" s="240">
        <f>G9/B9</f>
        <v>0.29545454545454547</v>
      </c>
      <c r="I9" s="241"/>
      <c r="J9" s="257" t="s">
        <v>62</v>
      </c>
      <c r="K9" s="239"/>
      <c r="L9" s="239"/>
      <c r="M9" s="323"/>
      <c r="N9" s="239">
        <f>T9-7</f>
        <v>44543</v>
      </c>
      <c r="O9" s="243"/>
      <c r="P9" s="240"/>
      <c r="Q9" s="240"/>
      <c r="R9" s="240"/>
      <c r="S9" s="239"/>
      <c r="T9" s="245">
        <v>44550</v>
      </c>
      <c r="U9" s="245"/>
      <c r="V9" s="246"/>
    </row>
    <row r="10" spans="1:22" s="47" customFormat="1" ht="15" customHeight="1">
      <c r="A10" s="239" t="s">
        <v>63</v>
      </c>
      <c r="B10" s="323">
        <v>87</v>
      </c>
      <c r="C10" s="323">
        <v>73</v>
      </c>
      <c r="D10" s="240">
        <f>C10/B10</f>
        <v>0.83908045977011492</v>
      </c>
      <c r="E10" s="323"/>
      <c r="F10" s="240">
        <f>E10/B10</f>
        <v>0</v>
      </c>
      <c r="G10" s="323"/>
      <c r="H10" s="240"/>
      <c r="I10" s="241"/>
      <c r="J10" s="239"/>
      <c r="K10" s="239"/>
      <c r="L10" s="239"/>
      <c r="M10" s="323"/>
      <c r="N10" s="239">
        <f>T10-7</f>
        <v>44543</v>
      </c>
      <c r="O10" s="243"/>
      <c r="P10" s="240"/>
      <c r="Q10" s="240"/>
      <c r="R10" s="240"/>
      <c r="S10" s="239"/>
      <c r="T10" s="245">
        <v>44550</v>
      </c>
      <c r="U10" s="245"/>
      <c r="V10" s="246"/>
    </row>
    <row r="11" spans="1:22" s="47" customFormat="1" ht="15" customHeight="1">
      <c r="A11" s="239" t="s">
        <v>64</v>
      </c>
      <c r="B11" s="323">
        <v>10</v>
      </c>
      <c r="C11" s="323"/>
      <c r="D11" s="240">
        <v>0</v>
      </c>
      <c r="E11" s="323"/>
      <c r="F11" s="240"/>
      <c r="G11" s="323"/>
      <c r="H11" s="240"/>
      <c r="I11" s="241"/>
      <c r="J11" s="239"/>
      <c r="K11" s="239"/>
      <c r="L11" s="239"/>
      <c r="M11" s="323"/>
      <c r="N11" s="239">
        <f>T11-7</f>
        <v>44543</v>
      </c>
      <c r="O11" s="243"/>
      <c r="P11" s="240"/>
      <c r="Q11" s="240"/>
      <c r="R11" s="240"/>
      <c r="S11" s="239"/>
      <c r="T11" s="245">
        <v>44550</v>
      </c>
      <c r="U11" s="245"/>
      <c r="V11" s="246"/>
    </row>
    <row r="12" spans="1:22" s="47" customFormat="1" ht="15" customHeight="1">
      <c r="A12" s="239" t="s">
        <v>65</v>
      </c>
      <c r="B12" s="323">
        <v>131</v>
      </c>
      <c r="C12" s="323">
        <v>123</v>
      </c>
      <c r="D12" s="240">
        <f>C12/B12</f>
        <v>0.93893129770992367</v>
      </c>
      <c r="E12" s="323"/>
      <c r="F12" s="240">
        <f>E12/B12</f>
        <v>0</v>
      </c>
      <c r="G12" s="323"/>
      <c r="H12" s="240"/>
      <c r="I12" s="241"/>
      <c r="J12" s="239"/>
      <c r="K12" s="239"/>
      <c r="L12" s="239"/>
      <c r="M12" s="323"/>
      <c r="N12" s="239">
        <f>T12-7</f>
        <v>44543</v>
      </c>
      <c r="O12" s="243"/>
      <c r="P12" s="240"/>
      <c r="Q12" s="240"/>
      <c r="R12" s="240"/>
      <c r="S12" s="239"/>
      <c r="T12" s="245">
        <v>44550</v>
      </c>
      <c r="U12" s="245"/>
      <c r="V12" s="246"/>
    </row>
    <row r="13" spans="1:22" s="47" customFormat="1" ht="15" customHeight="1">
      <c r="A13" s="239" t="s">
        <v>66</v>
      </c>
      <c r="B13" s="323">
        <v>1</v>
      </c>
      <c r="C13" s="323">
        <v>1</v>
      </c>
      <c r="D13" s="240">
        <v>0</v>
      </c>
      <c r="E13" s="323"/>
      <c r="F13" s="240">
        <v>0</v>
      </c>
      <c r="G13" s="323"/>
      <c r="H13" s="240"/>
      <c r="I13" s="241"/>
      <c r="J13" s="239"/>
      <c r="K13" s="239"/>
      <c r="L13" s="239"/>
      <c r="M13" s="323"/>
      <c r="N13" s="239">
        <f>T13-7</f>
        <v>44543</v>
      </c>
      <c r="O13" s="243"/>
      <c r="P13" s="240"/>
      <c r="Q13" s="240"/>
      <c r="R13" s="240"/>
      <c r="S13" s="239"/>
      <c r="T13" s="245">
        <v>44550</v>
      </c>
      <c r="U13" s="245"/>
      <c r="V13" s="246"/>
    </row>
    <row r="14" spans="1:22" s="247" customFormat="1" ht="13.5" customHeight="1">
      <c r="A14" s="253" t="s">
        <v>67</v>
      </c>
      <c r="B14" s="325">
        <f>SUM(B3,B6:B13)</f>
        <v>520</v>
      </c>
      <c r="C14" s="325">
        <f>SUM(C3,C6:C13)</f>
        <v>482</v>
      </c>
      <c r="D14" s="254">
        <f>C14/B14</f>
        <v>0.92692307692307696</v>
      </c>
      <c r="E14" s="325">
        <f>SUM(E3,E6:E13)</f>
        <v>143</v>
      </c>
      <c r="F14" s="254">
        <f>E14/B14</f>
        <v>0.27500000000000002</v>
      </c>
      <c r="G14" s="325">
        <f>SUM(G3,G6:G13)</f>
        <v>42</v>
      </c>
      <c r="H14" s="254">
        <f>G14/B14</f>
        <v>8.0769230769230774E-2</v>
      </c>
      <c r="I14" s="325"/>
      <c r="J14" s="325"/>
      <c r="K14" s="325"/>
      <c r="L14" s="325"/>
      <c r="M14" s="325">
        <f>SUM(M3,M6:M13)</f>
        <v>14</v>
      </c>
      <c r="N14" s="325"/>
      <c r="O14" s="325">
        <f>SUM(O3,O6:O13)</f>
        <v>14</v>
      </c>
      <c r="P14" s="255"/>
      <c r="Q14" s="255"/>
      <c r="R14" s="255"/>
      <c r="S14" s="255"/>
      <c r="T14" s="255"/>
      <c r="U14" s="255"/>
    </row>
    <row r="16" spans="1:22">
      <c r="A16" s="314"/>
      <c r="B16" s="326" t="s">
        <v>68</v>
      </c>
      <c r="C16" s="327" t="s">
        <v>69</v>
      </c>
      <c r="E16" s="327" t="s">
        <v>70</v>
      </c>
    </row>
    <row r="17" spans="1:5">
      <c r="A17" s="314" t="s">
        <v>51</v>
      </c>
      <c r="B17" s="315">
        <f>B3-C17</f>
        <v>3</v>
      </c>
      <c r="C17" s="315">
        <v>13</v>
      </c>
    </row>
    <row r="18" spans="1:5">
      <c r="A18" s="314" t="s">
        <v>56</v>
      </c>
      <c r="B18" s="315">
        <f>B6-C18</f>
        <v>80</v>
      </c>
      <c r="C18" s="315"/>
    </row>
    <row r="19" spans="1:5">
      <c r="A19" s="314" t="s">
        <v>57</v>
      </c>
      <c r="B19" s="315">
        <f>B7-C19</f>
        <v>3</v>
      </c>
      <c r="C19" s="315">
        <v>33</v>
      </c>
      <c r="E19" s="281" t="s">
        <v>71</v>
      </c>
    </row>
    <row r="20" spans="1:5">
      <c r="A20" s="314" t="s">
        <v>59</v>
      </c>
      <c r="B20" s="315">
        <f>B8-C20</f>
        <v>71</v>
      </c>
      <c r="C20" s="315"/>
      <c r="E20" s="328" t="s">
        <v>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zoomScale="90" zoomScaleNormal="90" workbookViewId="0">
      <pane ySplit="2" topLeftCell="A3" activePane="bottomLeft" state="frozen"/>
      <selection pane="bottomLeft" activeCell="I71" sqref="I71"/>
    </sheetView>
  </sheetViews>
  <sheetFormatPr defaultColWidth="9" defaultRowHeight="15"/>
  <cols>
    <col min="1" max="1" width="12.75" style="309" bestFit="1" customWidth="1"/>
    <col min="2" max="2" width="6.75" style="314" customWidth="1"/>
    <col min="3" max="3" width="9.25" style="315" customWidth="1"/>
    <col min="4" max="4" width="10.875" style="310" customWidth="1"/>
    <col min="5" max="5" width="11.25" style="300" customWidth="1"/>
    <col min="6" max="6" width="10.75" style="310" customWidth="1"/>
    <col min="7" max="7" width="11.75" style="310" customWidth="1"/>
    <col min="8" max="8" width="8.375" style="310" customWidth="1"/>
    <col min="9" max="9" width="15.375" style="310" customWidth="1"/>
    <col min="10" max="10" width="17.875" style="316" customWidth="1"/>
    <col min="11" max="11" width="6.25" style="329" customWidth="1"/>
    <col min="12" max="12" width="22.375" style="305" bestFit="1" customWidth="1"/>
    <col min="13" max="15" width="9" style="311" customWidth="1"/>
    <col min="16" max="16384" width="9" style="311"/>
  </cols>
  <sheetData>
    <row r="1" spans="1:12" ht="15" customHeight="1">
      <c r="A1" s="210" t="s">
        <v>73</v>
      </c>
      <c r="E1" s="310"/>
      <c r="I1" s="316"/>
      <c r="J1" s="317"/>
      <c r="K1" s="235"/>
      <c r="L1" s="311"/>
    </row>
    <row r="2" spans="1:12" s="47" customFormat="1" ht="15" customHeight="1">
      <c r="A2" s="211" t="s">
        <v>74</v>
      </c>
      <c r="B2" s="330" t="s">
        <v>75</v>
      </c>
      <c r="C2" s="331" t="s">
        <v>76</v>
      </c>
      <c r="D2" s="212" t="s">
        <v>77</v>
      </c>
      <c r="E2" s="212" t="s">
        <v>78</v>
      </c>
      <c r="F2" s="212" t="s">
        <v>79</v>
      </c>
      <c r="G2" s="212" t="s">
        <v>80</v>
      </c>
      <c r="H2" s="212" t="s">
        <v>81</v>
      </c>
      <c r="I2" s="332" t="s">
        <v>82</v>
      </c>
      <c r="J2" s="333" t="s">
        <v>83</v>
      </c>
      <c r="K2" s="236" t="s">
        <v>84</v>
      </c>
    </row>
    <row r="3" spans="1:12" ht="15" hidden="1" customHeight="1">
      <c r="A3" s="309">
        <v>44396</v>
      </c>
      <c r="B3" s="314">
        <f>表格1[[#This Row],[日期]]</f>
        <v>44396</v>
      </c>
      <c r="C3" s="315">
        <v>366</v>
      </c>
      <c r="D3" s="310">
        <f>COUNTIF(URS確認!K:K,"&lt;"&amp;A3+1)</f>
        <v>7</v>
      </c>
      <c r="E3" s="310">
        <f>COUNTIF(URS確認!L:L,"&lt;"&amp;A3+1)</f>
        <v>7</v>
      </c>
      <c r="F3" s="310" t="e">
        <f t="shared" ref="F3:G6" si="0">D7-D2</f>
        <v>#VALUE!</v>
      </c>
      <c r="G3" s="310" t="e">
        <f t="shared" si="0"/>
        <v>#VALUE!</v>
      </c>
      <c r="H3" s="310" t="e">
        <f>IF(表格1[[#This Row],[本周完成]]&gt;表格1[[#This Row],[本周預計]],"提前",IF(表格1[[#This Row],[本周完成]]&lt;表格1[[#This Row],[本周預計]],"延遲","如期"))</f>
        <v>#VALUE!</v>
      </c>
      <c r="I3" s="316">
        <f>表格1[[#This Row],[累計預估]]/表格1[[#This Row],[合計數]]</f>
        <v>1.912568306010929E-2</v>
      </c>
      <c r="J3" s="316">
        <f>表格1[[#This Row],[累計完成]]/表格1[[#This Row],[合計數]]</f>
        <v>1.912568306010929E-2</v>
      </c>
      <c r="K3" s="334"/>
      <c r="L3" s="311"/>
    </row>
    <row r="4" spans="1:12" ht="15" hidden="1" customHeight="1">
      <c r="A4" s="309">
        <v>44397</v>
      </c>
      <c r="B4" s="314">
        <f>表格1[[#This Row],[日期]]</f>
        <v>44397</v>
      </c>
      <c r="C4" s="315">
        <v>366</v>
      </c>
      <c r="D4" s="310">
        <f>COUNTIF(URS確認!K:K,"&lt;"&amp;A4+1)</f>
        <v>23</v>
      </c>
      <c r="E4" s="310">
        <f>COUNTIF(URS確認!L:L,"&lt;"&amp;A4+1)</f>
        <v>23</v>
      </c>
      <c r="F4" s="310">
        <f t="shared" si="0"/>
        <v>38</v>
      </c>
      <c r="G4" s="310">
        <f t="shared" si="0"/>
        <v>40</v>
      </c>
      <c r="H4" s="310" t="str">
        <f>IF(表格1[[#This Row],[本周完成]]&gt;表格1[[#This Row],[本周預計]],"提前",IF(表格1[[#This Row],[本周完成]]&lt;表格1[[#This Row],[本周預計]],"延遲","如期"))</f>
        <v>提前</v>
      </c>
      <c r="I4" s="316">
        <f>表格1[[#This Row],[累計預估]]/表格1[[#This Row],[合計數]]</f>
        <v>6.2841530054644809E-2</v>
      </c>
      <c r="J4" s="316">
        <f>表格1[[#This Row],[累計完成]]/表格1[[#This Row],[合計數]]</f>
        <v>6.2841530054644809E-2</v>
      </c>
      <c r="K4" s="334"/>
      <c r="L4" s="311"/>
    </row>
    <row r="5" spans="1:12" ht="15" hidden="1" customHeight="1">
      <c r="A5" s="309">
        <v>44398</v>
      </c>
      <c r="B5" s="314">
        <f>表格1[[#This Row],[日期]]</f>
        <v>44398</v>
      </c>
      <c r="C5" s="315">
        <v>366</v>
      </c>
      <c r="D5" s="310">
        <f>COUNTIF(URS確認!K:K,"&lt;"&amp;A5+1)</f>
        <v>27</v>
      </c>
      <c r="E5" s="310">
        <f>COUNTIF(URS確認!L:L,"&lt;"&amp;A5+1)</f>
        <v>27</v>
      </c>
      <c r="F5" s="310">
        <f t="shared" si="0"/>
        <v>34</v>
      </c>
      <c r="G5" s="310">
        <f t="shared" si="0"/>
        <v>29</v>
      </c>
      <c r="H5" s="310" t="str">
        <f>IF(表格1[[#This Row],[本周完成]]&gt;表格1[[#This Row],[本周預計]],"提前",IF(表格1[[#This Row],[本周完成]]&lt;表格1[[#This Row],[本周預計]],"延遲","如期"))</f>
        <v>延遲</v>
      </c>
      <c r="I5" s="316">
        <f>表格1[[#This Row],[累計預估]]/表格1[[#This Row],[合計數]]</f>
        <v>7.3770491803278687E-2</v>
      </c>
      <c r="J5" s="316">
        <f>表格1[[#This Row],[累計完成]]/表格1[[#This Row],[合計數]]</f>
        <v>7.3770491803278687E-2</v>
      </c>
      <c r="K5" s="334"/>
      <c r="L5" s="311"/>
    </row>
    <row r="6" spans="1:12" ht="15" hidden="1" customHeight="1">
      <c r="A6" s="309">
        <v>44399</v>
      </c>
      <c r="B6" s="314">
        <f>表格1[[#This Row],[日期]]</f>
        <v>44399</v>
      </c>
      <c r="C6" s="315">
        <v>366</v>
      </c>
      <c r="D6" s="310">
        <f>COUNTIF(URS確認!K:K,"&lt;"&amp;A6+1)</f>
        <v>36</v>
      </c>
      <c r="E6" s="310">
        <f>COUNTIF(URS確認!L:L,"&lt;"&amp;A6+1)</f>
        <v>32</v>
      </c>
      <c r="F6" s="310">
        <f t="shared" si="0"/>
        <v>30</v>
      </c>
      <c r="G6" s="310">
        <f t="shared" si="0"/>
        <v>30</v>
      </c>
      <c r="H6" s="310" t="str">
        <f>IF(表格1[[#This Row],[本周完成]]&gt;表格1[[#This Row],[本周預計]],"提前",IF(表格1[[#This Row],[本周完成]]&lt;表格1[[#This Row],[本周預計]],"延遲","如期"))</f>
        <v>如期</v>
      </c>
      <c r="I6" s="316">
        <f>表格1[[#This Row],[累計預估]]/表格1[[#This Row],[合計數]]</f>
        <v>9.8360655737704916E-2</v>
      </c>
      <c r="J6" s="316">
        <f>表格1[[#This Row],[累計完成]]/表格1[[#This Row],[合計數]]</f>
        <v>8.7431693989071038E-2</v>
      </c>
      <c r="K6" s="334"/>
      <c r="L6" s="311"/>
    </row>
    <row r="7" spans="1:12" ht="15" customHeight="1">
      <c r="A7" s="48">
        <v>44400</v>
      </c>
      <c r="B7" s="335">
        <f>表格1[[#This Row],[日期]]</f>
        <v>44400</v>
      </c>
      <c r="C7" s="336">
        <v>366</v>
      </c>
      <c r="D7" s="83">
        <f>COUNTIF(URS確認!K:K,"&lt;"&amp;A7+1)</f>
        <v>36</v>
      </c>
      <c r="E7" s="83">
        <f>COUNTIF(URS確認!L:L,"&lt;"&amp;A7+1)</f>
        <v>38</v>
      </c>
      <c r="F7" s="83">
        <f>表格1[[#This Row],[累計預估]]</f>
        <v>36</v>
      </c>
      <c r="G7" s="83">
        <f>表格1[[#This Row],[累計完成]]</f>
        <v>38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7">
        <f>表格1[[#This Row],[累計預估]]/表格1[[#This Row],[合計數]]</f>
        <v>9.8360655737704916E-2</v>
      </c>
      <c r="J7" s="337">
        <f>表格1[[#This Row],[累計完成]]/表格1[[#This Row],[合計數]]</f>
        <v>0.10382513661202186</v>
      </c>
      <c r="K7" s="334"/>
      <c r="L7" s="311"/>
    </row>
    <row r="8" spans="1:12" ht="15" hidden="1" customHeight="1">
      <c r="A8" s="309">
        <v>44403</v>
      </c>
      <c r="B8" s="314">
        <f>表格1[[#This Row],[日期]]</f>
        <v>44403</v>
      </c>
      <c r="C8" s="315">
        <v>366</v>
      </c>
      <c r="D8" s="310">
        <f>COUNTIF(URS確認!K:K,"&lt;"&amp;A8+1)</f>
        <v>45</v>
      </c>
      <c r="E8" s="310">
        <f>COUNTIF(URS確認!L:L,"&lt;"&amp;A8+1)</f>
        <v>47</v>
      </c>
      <c r="F8" s="310">
        <f t="shared" ref="F8:G11" si="1">D12-D7</f>
        <v>21</v>
      </c>
      <c r="G8" s="310">
        <f t="shared" si="1"/>
        <v>19</v>
      </c>
      <c r="H8" s="310" t="str">
        <f>IF(表格1[[#This Row],[本周完成]]&gt;表格1[[#This Row],[本周預計]],"提前",IF(表格1[[#This Row],[本周完成]]&lt;表格1[[#This Row],[本周預計]],"延遲","如期"))</f>
        <v>延遲</v>
      </c>
      <c r="I8" s="337">
        <f>表格1[[#This Row],[累計預估]]/表格1[[#This Row],[合計數]]</f>
        <v>0.12295081967213115</v>
      </c>
      <c r="J8" s="337">
        <f>表格1[[#This Row],[累計完成]]/表格1[[#This Row],[合計數]]</f>
        <v>0.12841530054644809</v>
      </c>
      <c r="K8" s="334"/>
      <c r="L8" s="311"/>
    </row>
    <row r="9" spans="1:12" ht="15" hidden="1" customHeight="1">
      <c r="A9" s="309">
        <v>44404</v>
      </c>
      <c r="B9" s="314">
        <f>表格1[[#This Row],[日期]]</f>
        <v>44404</v>
      </c>
      <c r="C9" s="315">
        <v>366</v>
      </c>
      <c r="D9" s="310">
        <f>COUNTIF(URS確認!K:K,"&lt;"&amp;A9+1)</f>
        <v>57</v>
      </c>
      <c r="E9" s="310">
        <f>COUNTIF(URS確認!L:L,"&lt;"&amp;A9+1)</f>
        <v>52</v>
      </c>
      <c r="F9" s="310">
        <f t="shared" si="1"/>
        <v>12</v>
      </c>
      <c r="G9" s="310">
        <f t="shared" si="1"/>
        <v>10</v>
      </c>
      <c r="H9" s="310" t="str">
        <f>IF(表格1[[#This Row],[本周完成]]&gt;表格1[[#This Row],[本周預計]],"提前",IF(表格1[[#This Row],[本周完成]]&lt;表格1[[#This Row],[本周預計]],"延遲","如期"))</f>
        <v>延遲</v>
      </c>
      <c r="I9" s="337">
        <f>表格1[[#This Row],[累計預估]]/表格1[[#This Row],[合計數]]</f>
        <v>0.15573770491803279</v>
      </c>
      <c r="J9" s="337">
        <f>表格1[[#This Row],[累計完成]]/表格1[[#This Row],[合計數]]</f>
        <v>0.14207650273224043</v>
      </c>
      <c r="K9" s="334"/>
      <c r="L9" s="311"/>
    </row>
    <row r="10" spans="1:12" ht="15" hidden="1" customHeight="1">
      <c r="A10" s="309">
        <v>44405</v>
      </c>
      <c r="B10" s="314">
        <f>表格1[[#This Row],[日期]]</f>
        <v>44405</v>
      </c>
      <c r="C10" s="315">
        <v>368</v>
      </c>
      <c r="D10" s="310">
        <f>COUNTIF(URS確認!K:K,"&lt;"&amp;A10+1)</f>
        <v>57</v>
      </c>
      <c r="E10" s="310">
        <f>COUNTIF(URS確認!L:L,"&lt;"&amp;A10+1)</f>
        <v>57</v>
      </c>
      <c r="F10" s="310">
        <f t="shared" si="1"/>
        <v>0</v>
      </c>
      <c r="G10" s="310">
        <f t="shared" si="1"/>
        <v>5</v>
      </c>
      <c r="H10" s="310" t="str">
        <f>IF(表格1[[#This Row],[本周完成]]&gt;表格1[[#This Row],[本周預計]],"提前",IF(表格1[[#This Row],[本周完成]]&lt;表格1[[#This Row],[本周預計]],"延遲","如期"))</f>
        <v>提前</v>
      </c>
      <c r="I10" s="337">
        <f>表格1[[#This Row],[累計預估]]/表格1[[#This Row],[合計數]]</f>
        <v>0.15489130434782608</v>
      </c>
      <c r="J10" s="337">
        <f>表格1[[#This Row],[累計完成]]/表格1[[#This Row],[合計數]]</f>
        <v>0.15489130434782608</v>
      </c>
      <c r="K10" s="334"/>
      <c r="L10" s="311"/>
    </row>
    <row r="11" spans="1:12" ht="15" hidden="1" customHeight="1">
      <c r="A11" s="309">
        <v>44406</v>
      </c>
      <c r="B11" s="314">
        <f>表格1[[#This Row],[日期]]</f>
        <v>44406</v>
      </c>
      <c r="C11" s="315">
        <v>368</v>
      </c>
      <c r="D11" s="310">
        <f>COUNTIF(URS確認!K:K,"&lt;"&amp;A11+1)</f>
        <v>57</v>
      </c>
      <c r="E11" s="310">
        <f>COUNTIF(URS確認!L:L,"&lt;"&amp;A11+1)</f>
        <v>57</v>
      </c>
      <c r="F11" s="310">
        <f t="shared" si="1"/>
        <v>0</v>
      </c>
      <c r="G11" s="310">
        <f t="shared" si="1"/>
        <v>0</v>
      </c>
      <c r="H11" s="310" t="str">
        <f>IF(表格1[[#This Row],[本周完成]]&gt;表格1[[#This Row],[本周預計]],"提前",IF(表格1[[#This Row],[本周完成]]&lt;表格1[[#This Row],[本周預計]],"延遲","如期"))</f>
        <v>如期</v>
      </c>
      <c r="I11" s="337">
        <f>表格1[[#This Row],[累計預估]]/表格1[[#This Row],[合計數]]</f>
        <v>0.15489130434782608</v>
      </c>
      <c r="J11" s="337">
        <f>表格1[[#This Row],[累計完成]]/表格1[[#This Row],[合計數]]</f>
        <v>0.15489130434782608</v>
      </c>
      <c r="K11" s="334"/>
      <c r="L11" s="311"/>
    </row>
    <row r="12" spans="1:12" ht="15" customHeight="1">
      <c r="A12" s="48">
        <v>44407</v>
      </c>
      <c r="B12" s="335">
        <f>表格1[[#This Row],[日期]]</f>
        <v>44407</v>
      </c>
      <c r="C12" s="336">
        <v>368</v>
      </c>
      <c r="D12" s="83">
        <f>COUNTIF(URS確認!K:K,"&lt;"&amp;A12+1)</f>
        <v>57</v>
      </c>
      <c r="E12" s="83">
        <f>COUNTIF(URS確認!L:L,"&lt;"&amp;A12+1)</f>
        <v>57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7">
        <f>表格1[[#This Row],[累計預估]]/表格1[[#This Row],[合計數]]</f>
        <v>0.15489130434782608</v>
      </c>
      <c r="J12" s="337">
        <f>表格1[[#This Row],[累計完成]]/表格1[[#This Row],[合計數]]</f>
        <v>0.15489130434782608</v>
      </c>
      <c r="K12" s="334"/>
      <c r="L12" s="311"/>
    </row>
    <row r="13" spans="1:12" ht="15" hidden="1" customHeight="1">
      <c r="A13" s="309">
        <v>44410</v>
      </c>
      <c r="B13" s="314">
        <f>表格1[[#This Row],[日期]]</f>
        <v>44410</v>
      </c>
      <c r="C13" s="315">
        <v>368</v>
      </c>
      <c r="D13" s="310">
        <f>COUNTIF(URS確認!K:K,"&lt;"&amp;A13+1)</f>
        <v>57</v>
      </c>
      <c r="E13" s="310">
        <f>COUNTIF(URS確認!L:L,"&lt;"&amp;A13+1)</f>
        <v>57</v>
      </c>
      <c r="F13" s="310">
        <f t="shared" ref="F13:G16" si="2">D17-D12</f>
        <v>0</v>
      </c>
      <c r="G13" s="310">
        <f t="shared" si="2"/>
        <v>0</v>
      </c>
      <c r="H13" s="310" t="str">
        <f>IF(表格1[[#This Row],[本周完成]]&gt;表格1[[#This Row],[本周預計]],"提前",IF(表格1[[#This Row],[本周完成]]&lt;表格1[[#This Row],[本周預計]],"延遲","如期"))</f>
        <v>如期</v>
      </c>
      <c r="I13" s="337">
        <f>表格1[[#This Row],[累計預估]]/表格1[[#This Row],[合計數]]</f>
        <v>0.15489130434782608</v>
      </c>
      <c r="J13" s="337">
        <f>表格1[[#This Row],[累計完成]]/表格1[[#This Row],[合計數]]</f>
        <v>0.15489130434782608</v>
      </c>
      <c r="K13" s="334"/>
      <c r="L13" s="311"/>
    </row>
    <row r="14" spans="1:12" ht="15" hidden="1" customHeight="1">
      <c r="A14" s="309">
        <v>44411</v>
      </c>
      <c r="B14" s="314">
        <f>表格1[[#This Row],[日期]]</f>
        <v>44411</v>
      </c>
      <c r="C14" s="315">
        <v>368</v>
      </c>
      <c r="D14" s="310">
        <f>COUNTIF(URS確認!K:K,"&lt;"&amp;A14+1)</f>
        <v>57</v>
      </c>
      <c r="E14" s="310">
        <f>COUNTIF(URS確認!L:L,"&lt;"&amp;A14+1)</f>
        <v>57</v>
      </c>
      <c r="F14" s="310">
        <f t="shared" si="2"/>
        <v>0</v>
      </c>
      <c r="G14" s="310">
        <f t="shared" si="2"/>
        <v>0</v>
      </c>
      <c r="H14" s="310" t="str">
        <f>IF(表格1[[#This Row],[本周完成]]&gt;表格1[[#This Row],[本周預計]],"提前",IF(表格1[[#This Row],[本周完成]]&lt;表格1[[#This Row],[本周預計]],"延遲","如期"))</f>
        <v>如期</v>
      </c>
      <c r="I14" s="337">
        <f>表格1[[#This Row],[累計預估]]/表格1[[#This Row],[合計數]]</f>
        <v>0.15489130434782608</v>
      </c>
      <c r="J14" s="337">
        <f>表格1[[#This Row],[累計完成]]/表格1[[#This Row],[合計數]]</f>
        <v>0.15489130434782608</v>
      </c>
      <c r="K14" s="334"/>
      <c r="L14" s="311"/>
    </row>
    <row r="15" spans="1:12" ht="15" hidden="1" customHeight="1">
      <c r="A15" s="309">
        <v>44412</v>
      </c>
      <c r="B15" s="314">
        <f>表格1[[#This Row],[日期]]</f>
        <v>44412</v>
      </c>
      <c r="C15" s="315">
        <v>368</v>
      </c>
      <c r="D15" s="310">
        <f>COUNTIF(URS確認!K:K,"&lt;"&amp;A15+1)</f>
        <v>57</v>
      </c>
      <c r="E15" s="310">
        <f>COUNTIF(URS確認!L:L,"&lt;"&amp;A15+1)</f>
        <v>57</v>
      </c>
      <c r="F15" s="310">
        <f t="shared" si="2"/>
        <v>0</v>
      </c>
      <c r="G15" s="310">
        <f t="shared" si="2"/>
        <v>0</v>
      </c>
      <c r="H15" s="310" t="str">
        <f>IF(表格1[[#This Row],[本周完成]]&gt;表格1[[#This Row],[本周預計]],"提前",IF(表格1[[#This Row],[本周完成]]&lt;表格1[[#This Row],[本周預計]],"延遲","如期"))</f>
        <v>如期</v>
      </c>
      <c r="I15" s="337">
        <f>表格1[[#This Row],[累計預估]]/表格1[[#This Row],[合計數]]</f>
        <v>0.15489130434782608</v>
      </c>
      <c r="J15" s="337">
        <f>表格1[[#This Row],[累計完成]]/表格1[[#This Row],[合計數]]</f>
        <v>0.15489130434782608</v>
      </c>
      <c r="K15" s="334"/>
      <c r="L15" s="311"/>
    </row>
    <row r="16" spans="1:12" ht="15" hidden="1" customHeight="1">
      <c r="A16" s="309">
        <v>44413</v>
      </c>
      <c r="B16" s="314">
        <f>表格1[[#This Row],[日期]]</f>
        <v>44413</v>
      </c>
      <c r="C16" s="315">
        <v>368</v>
      </c>
      <c r="D16" s="310">
        <f>COUNTIF(URS確認!K:K,"&lt;"&amp;A16+1)</f>
        <v>57</v>
      </c>
      <c r="E16" s="310">
        <f>COUNTIF(URS確認!L:L,"&lt;"&amp;A16+1)</f>
        <v>57</v>
      </c>
      <c r="F16" s="310">
        <f t="shared" si="2"/>
        <v>0</v>
      </c>
      <c r="G16" s="310">
        <f t="shared" si="2"/>
        <v>0</v>
      </c>
      <c r="H16" s="310" t="str">
        <f>IF(表格1[[#This Row],[本周完成]]&gt;表格1[[#This Row],[本周預計]],"提前",IF(表格1[[#This Row],[本周完成]]&lt;表格1[[#This Row],[本周預計]],"延遲","如期"))</f>
        <v>如期</v>
      </c>
      <c r="I16" s="337">
        <f>表格1[[#This Row],[累計預估]]/表格1[[#This Row],[合計數]]</f>
        <v>0.15489130434782608</v>
      </c>
      <c r="J16" s="337">
        <f>表格1[[#This Row],[累計完成]]/表格1[[#This Row],[合計數]]</f>
        <v>0.15489130434782608</v>
      </c>
      <c r="K16" s="334"/>
      <c r="L16" s="311"/>
    </row>
    <row r="17" spans="1:12" ht="15" hidden="1" customHeight="1">
      <c r="A17" s="48">
        <v>44414</v>
      </c>
      <c r="B17" s="335">
        <f>表格1[[#This Row],[日期]]</f>
        <v>44414</v>
      </c>
      <c r="C17" s="336">
        <v>368</v>
      </c>
      <c r="D17" s="83">
        <f>COUNTIF(URS確認!K:K,"&lt;"&amp;A17+1)</f>
        <v>57</v>
      </c>
      <c r="E17" s="83">
        <f>COUNTIF(URS確認!L:L,"&lt;"&amp;A17+1)</f>
        <v>57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7">
        <f>表格1[[#This Row],[累計預估]]/表格1[[#This Row],[合計數]]</f>
        <v>0.15489130434782608</v>
      </c>
      <c r="J17" s="337">
        <f>表格1[[#This Row],[累計完成]]/表格1[[#This Row],[合計數]]</f>
        <v>0.15489130434782608</v>
      </c>
      <c r="K17" s="334"/>
      <c r="L17" s="311"/>
    </row>
    <row r="18" spans="1:12" ht="15" hidden="1" customHeight="1">
      <c r="A18" s="309">
        <v>44417</v>
      </c>
      <c r="B18" s="314">
        <f>表格1[[#This Row],[日期]]</f>
        <v>44417</v>
      </c>
      <c r="C18" s="315">
        <v>368</v>
      </c>
      <c r="D18" s="310">
        <f>COUNTIF(URS確認!K:K,"&lt;"&amp;A18+1)</f>
        <v>57</v>
      </c>
      <c r="E18" s="310">
        <f>COUNTIF(URS確認!L:L,"&lt;"&amp;A18+1)</f>
        <v>57</v>
      </c>
      <c r="F18" s="310">
        <f t="shared" ref="F18:G21" si="3">D22-D17</f>
        <v>0</v>
      </c>
      <c r="G18" s="310">
        <f t="shared" si="3"/>
        <v>0</v>
      </c>
      <c r="H18" s="310" t="str">
        <f>IF(表格1[[#This Row],[本周完成]]&gt;表格1[[#This Row],[本周預計]],"提前",IF(表格1[[#This Row],[本周完成]]&lt;表格1[[#This Row],[本周預計]],"延遲","如期"))</f>
        <v>如期</v>
      </c>
      <c r="I18" s="337">
        <f>表格1[[#This Row],[累計預估]]/表格1[[#This Row],[合計數]]</f>
        <v>0.15489130434782608</v>
      </c>
      <c r="J18" s="337">
        <f>表格1[[#This Row],[累計完成]]/表格1[[#This Row],[合計數]]</f>
        <v>0.15489130434782608</v>
      </c>
      <c r="K18" s="334"/>
      <c r="L18" s="311"/>
    </row>
    <row r="19" spans="1:12" ht="15" hidden="1" customHeight="1">
      <c r="A19" s="309">
        <v>44418</v>
      </c>
      <c r="B19" s="314">
        <f>表格1[[#This Row],[日期]]</f>
        <v>44418</v>
      </c>
      <c r="C19" s="315">
        <v>368</v>
      </c>
      <c r="D19" s="310">
        <f>COUNTIF(URS確認!K:K,"&lt;"&amp;A19+1)</f>
        <v>57</v>
      </c>
      <c r="E19" s="310">
        <f>COUNTIF(URS確認!L:L,"&lt;"&amp;A19+1)</f>
        <v>57</v>
      </c>
      <c r="F19" s="310">
        <f t="shared" si="3"/>
        <v>0</v>
      </c>
      <c r="G19" s="310">
        <f t="shared" si="3"/>
        <v>0</v>
      </c>
      <c r="H19" s="310" t="str">
        <f>IF(表格1[[#This Row],[本周完成]]&gt;表格1[[#This Row],[本周預計]],"提前",IF(表格1[[#This Row],[本周完成]]&lt;表格1[[#This Row],[本周預計]],"延遲","如期"))</f>
        <v>如期</v>
      </c>
      <c r="I19" s="337">
        <f>表格1[[#This Row],[累計預估]]/表格1[[#This Row],[合計數]]</f>
        <v>0.15489130434782608</v>
      </c>
      <c r="J19" s="337">
        <f>表格1[[#This Row],[累計完成]]/表格1[[#This Row],[合計數]]</f>
        <v>0.15489130434782608</v>
      </c>
      <c r="K19" s="334"/>
      <c r="L19" s="311"/>
    </row>
    <row r="20" spans="1:12" ht="15" hidden="1" customHeight="1">
      <c r="A20" s="309">
        <v>44419</v>
      </c>
      <c r="B20" s="314">
        <f>表格1[[#This Row],[日期]]</f>
        <v>44419</v>
      </c>
      <c r="C20" s="315">
        <v>368</v>
      </c>
      <c r="D20" s="310">
        <f>COUNTIF(URS確認!K:K,"&lt;"&amp;A20+1)</f>
        <v>57</v>
      </c>
      <c r="E20" s="310">
        <f>COUNTIF(URS確認!L:L,"&lt;"&amp;A20+1)</f>
        <v>57</v>
      </c>
      <c r="F20" s="310">
        <f t="shared" si="3"/>
        <v>0</v>
      </c>
      <c r="G20" s="310">
        <f t="shared" si="3"/>
        <v>0</v>
      </c>
      <c r="H20" s="310" t="str">
        <f>IF(表格1[[#This Row],[本周完成]]&gt;表格1[[#This Row],[本周預計]],"提前",IF(表格1[[#This Row],[本周完成]]&lt;表格1[[#This Row],[本周預計]],"延遲","如期"))</f>
        <v>如期</v>
      </c>
      <c r="I20" s="337">
        <f>表格1[[#This Row],[累計預估]]/表格1[[#This Row],[合計數]]</f>
        <v>0.15489130434782608</v>
      </c>
      <c r="J20" s="337">
        <f>表格1[[#This Row],[累計完成]]/表格1[[#This Row],[合計數]]</f>
        <v>0.15489130434782608</v>
      </c>
      <c r="K20" s="334"/>
      <c r="L20" s="311"/>
    </row>
    <row r="21" spans="1:12" ht="15" hidden="1" customHeight="1">
      <c r="A21" s="309">
        <v>44420</v>
      </c>
      <c r="B21" s="314">
        <f>表格1[[#This Row],[日期]]</f>
        <v>44420</v>
      </c>
      <c r="C21" s="315">
        <v>368</v>
      </c>
      <c r="D21" s="310">
        <f>COUNTIF(URS確認!K:K,"&lt;"&amp;A21+1)</f>
        <v>57</v>
      </c>
      <c r="E21" s="310">
        <f>COUNTIF(URS確認!L:L,"&lt;"&amp;A21+1)</f>
        <v>57</v>
      </c>
      <c r="F21" s="310">
        <f t="shared" si="3"/>
        <v>0</v>
      </c>
      <c r="G21" s="310">
        <f t="shared" si="3"/>
        <v>0</v>
      </c>
      <c r="H21" s="310" t="str">
        <f>IF(表格1[[#This Row],[本周完成]]&gt;表格1[[#This Row],[本周預計]],"提前",IF(表格1[[#This Row],[本周完成]]&lt;表格1[[#This Row],[本周預計]],"延遲","如期"))</f>
        <v>如期</v>
      </c>
      <c r="I21" s="337">
        <f>表格1[[#This Row],[累計預估]]/表格1[[#This Row],[合計數]]</f>
        <v>0.15489130434782608</v>
      </c>
      <c r="J21" s="337">
        <f>表格1[[#This Row],[累計完成]]/表格1[[#This Row],[合計數]]</f>
        <v>0.15489130434782608</v>
      </c>
      <c r="K21" s="334"/>
      <c r="L21" s="311"/>
    </row>
    <row r="22" spans="1:12" ht="15" hidden="1" customHeight="1">
      <c r="A22" s="48">
        <v>44421</v>
      </c>
      <c r="B22" s="335">
        <f>表格1[[#This Row],[日期]]</f>
        <v>44421</v>
      </c>
      <c r="C22" s="336">
        <v>368</v>
      </c>
      <c r="D22" s="83">
        <f>COUNTIF(URS確認!K:K,"&lt;"&amp;A22+1)</f>
        <v>57</v>
      </c>
      <c r="E22" s="83">
        <f>COUNTIF(URS確認!L:L,"&lt;"&amp;A22+1)</f>
        <v>57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7">
        <f>表格1[[#This Row],[累計預估]]/表格1[[#This Row],[合計數]]</f>
        <v>0.15489130434782608</v>
      </c>
      <c r="J22" s="337">
        <f>表格1[[#This Row],[累計完成]]/表格1[[#This Row],[合計數]]</f>
        <v>0.15489130434782608</v>
      </c>
      <c r="K22" s="334"/>
      <c r="L22" s="311"/>
    </row>
    <row r="23" spans="1:12" ht="15" hidden="1" customHeight="1">
      <c r="A23" s="106">
        <v>44424</v>
      </c>
      <c r="B23" s="338">
        <f>表格1[[#This Row],[日期]]</f>
        <v>44424</v>
      </c>
      <c r="C23" s="339">
        <f>COUNTA(URS確認!E:E)-1</f>
        <v>522</v>
      </c>
      <c r="D23" s="107">
        <f>COUNTIF(URS確認!K:K,"&lt;"&amp;A23+1)</f>
        <v>57</v>
      </c>
      <c r="E23" s="107">
        <f>COUNTIF(URS確認!L:L,"&lt;"&amp;A23+1)</f>
        <v>57</v>
      </c>
      <c r="F23" s="107">
        <f t="shared" ref="F23:G26" si="4">D27-D22</f>
        <v>0</v>
      </c>
      <c r="G23" s="107">
        <f t="shared" si="4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7">
        <f>表格1[[#This Row],[累計預估]]/表格1[[#This Row],[合計數]]</f>
        <v>0.10919540229885058</v>
      </c>
      <c r="J23" s="337">
        <f>表格1[[#This Row],[累計完成]]/表格1[[#This Row],[合計數]]</f>
        <v>0.10919540229885058</v>
      </c>
      <c r="K23" s="334"/>
      <c r="L23" s="311"/>
    </row>
    <row r="24" spans="1:12" ht="15" hidden="1" customHeight="1">
      <c r="A24" s="109">
        <v>44425</v>
      </c>
      <c r="B24" s="340">
        <f>表格1[[#This Row],[日期]]</f>
        <v>44425</v>
      </c>
      <c r="C24" s="341">
        <f>COUNTA(URS確認!E:E)-1</f>
        <v>522</v>
      </c>
      <c r="D24" s="110">
        <f>COUNTIF(URS確認!K:K,"&lt;"&amp;A24+1)</f>
        <v>57</v>
      </c>
      <c r="E24" s="110">
        <f>COUNTIF(URS確認!L:L,"&lt;"&amp;A24+1)</f>
        <v>57</v>
      </c>
      <c r="F24" s="110">
        <f t="shared" si="4"/>
        <v>9</v>
      </c>
      <c r="G24" s="110">
        <f t="shared" si="4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7">
        <f>表格1[[#This Row],[累計預估]]/表格1[[#This Row],[合計數]]</f>
        <v>0.10919540229885058</v>
      </c>
      <c r="J24" s="337">
        <f>表格1[[#This Row],[累計完成]]/表格1[[#This Row],[合計數]]</f>
        <v>0.10919540229885058</v>
      </c>
      <c r="K24" s="334"/>
      <c r="L24" s="311"/>
    </row>
    <row r="25" spans="1:12" ht="15" hidden="1" customHeight="1">
      <c r="A25" s="109">
        <v>44426</v>
      </c>
      <c r="B25" s="340">
        <f>表格1[[#This Row],[日期]]</f>
        <v>44426</v>
      </c>
      <c r="C25" s="341">
        <f>COUNTA(URS確認!E:E)-1</f>
        <v>522</v>
      </c>
      <c r="D25" s="110">
        <f>COUNTIF(URS確認!K:K,"&lt;"&amp;A25+1)</f>
        <v>57</v>
      </c>
      <c r="E25" s="110">
        <f>COUNTIF(URS確認!L:L,"&lt;"&amp;A25+1)</f>
        <v>57</v>
      </c>
      <c r="F25" s="110">
        <f t="shared" si="4"/>
        <v>15</v>
      </c>
      <c r="G25" s="110">
        <f t="shared" si="4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7">
        <f>表格1[[#This Row],[累計預估]]/表格1[[#This Row],[合計數]]</f>
        <v>0.10919540229885058</v>
      </c>
      <c r="J25" s="337">
        <f>表格1[[#This Row],[累計完成]]/表格1[[#This Row],[合計數]]</f>
        <v>0.10919540229885058</v>
      </c>
      <c r="K25" s="334"/>
      <c r="L25" s="311"/>
    </row>
    <row r="26" spans="1:12" ht="15" hidden="1" customHeight="1">
      <c r="A26" s="106">
        <v>44427</v>
      </c>
      <c r="B26" s="342">
        <f>表格1[[#This Row],[日期]]</f>
        <v>44427</v>
      </c>
      <c r="C26" s="343">
        <f>COUNTA(URS確認!E:E)-1</f>
        <v>522</v>
      </c>
      <c r="D26" s="115">
        <f>COUNTIF(URS確認!K:K,"&lt;"&amp;A26+1)</f>
        <v>57</v>
      </c>
      <c r="E26" s="115">
        <f>COUNTIF(URS確認!L:L,"&lt;"&amp;A26+1)</f>
        <v>57</v>
      </c>
      <c r="F26" s="115">
        <f t="shared" si="4"/>
        <v>19</v>
      </c>
      <c r="G26" s="115">
        <f t="shared" si="4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7">
        <f>表格1[[#This Row],[累計預估]]/表格1[[#This Row],[合計數]]</f>
        <v>0.10919540229885058</v>
      </c>
      <c r="J26" s="337">
        <f>表格1[[#This Row],[累計完成]]/表格1[[#This Row],[合計數]]</f>
        <v>0.10919540229885058</v>
      </c>
      <c r="K26" s="334"/>
      <c r="L26" s="311"/>
    </row>
    <row r="27" spans="1:12" ht="15" hidden="1" customHeight="1">
      <c r="A27" s="116">
        <v>44428</v>
      </c>
      <c r="B27" s="344">
        <f>表格1[[#This Row],[日期]]</f>
        <v>44428</v>
      </c>
      <c r="C27" s="345">
        <f>COUNTA(URS確認!E:E)-1-1-2-8-1-112-6-1-2</f>
        <v>389</v>
      </c>
      <c r="D27" s="117">
        <f>COUNTIF(URS確認!K:K,"&lt;"&amp;A27+1)</f>
        <v>57</v>
      </c>
      <c r="E27" s="117">
        <f>COUNTIF(URS確認!L:L,"&lt;"&amp;A27+1)</f>
        <v>57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7">
        <f>表格1[[#This Row],[累計預估]]/表格1[[#This Row],[合計數]]</f>
        <v>0.14652956298200515</v>
      </c>
      <c r="J27" s="337">
        <f>表格1[[#This Row],[累計完成]]/表格1[[#This Row],[合計數]]</f>
        <v>0.14652956298200515</v>
      </c>
      <c r="K27" s="334"/>
      <c r="L27" s="311"/>
    </row>
    <row r="28" spans="1:12" ht="15" hidden="1" customHeight="1">
      <c r="A28" s="114">
        <v>44431</v>
      </c>
      <c r="B28" s="342">
        <f>表格1[[#This Row],[日期]]</f>
        <v>44431</v>
      </c>
      <c r="C28" s="345">
        <f>COUNTA(URS確認!E:E)-1-112-13</f>
        <v>397</v>
      </c>
      <c r="D28" s="115">
        <f>COUNTIF(URS確認!K:K,"&lt;"&amp;A28+1)</f>
        <v>66</v>
      </c>
      <c r="E28" s="115">
        <f>COUNTIF(URS確認!L:L,"&lt;"&amp;A28+1)</f>
        <v>65</v>
      </c>
      <c r="F28" s="115">
        <f t="shared" ref="F28:G31" si="5">D32-D27</f>
        <v>27</v>
      </c>
      <c r="G28" s="115">
        <f t="shared" si="5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7">
        <f>表格1[[#This Row],[累計預估]]/表格1[[#This Row],[合計數]]</f>
        <v>0.16624685138539042</v>
      </c>
      <c r="J28" s="337">
        <f>表格1[[#This Row],[累計完成]]/表格1[[#This Row],[合計數]]</f>
        <v>0.16372795969773299</v>
      </c>
      <c r="K28" s="334"/>
      <c r="L28" s="311"/>
    </row>
    <row r="29" spans="1:12" ht="15" hidden="1" customHeight="1">
      <c r="A29" s="114">
        <v>44432</v>
      </c>
      <c r="B29" s="314">
        <f>表格1[[#This Row],[日期]]</f>
        <v>44432</v>
      </c>
      <c r="C29" s="345">
        <f>COUNTA(URS確認!E:E)-1-112-13</f>
        <v>397</v>
      </c>
      <c r="D29" s="310">
        <f>COUNTIF(URS確認!K:K,"&lt;"&amp;A29+1)</f>
        <v>72</v>
      </c>
      <c r="E29" s="310">
        <f>COUNTIF(URS確認!L:L,"&lt;"&amp;A29+1)</f>
        <v>74</v>
      </c>
      <c r="F29" s="310">
        <f t="shared" si="5"/>
        <v>23</v>
      </c>
      <c r="G29" s="310">
        <f t="shared" si="5"/>
        <v>28</v>
      </c>
      <c r="H29" s="310" t="str">
        <f>IF(表格1[[#This Row],[本周完成]]&gt;表格1[[#This Row],[本周預計]],"提前",IF(表格1[[#This Row],[本周完成]]&lt;表格1[[#This Row],[本周預計]],"延遲","如期"))</f>
        <v>提前</v>
      </c>
      <c r="I29" s="337">
        <f>表格1[[#This Row],[累計預估]]/表格1[[#This Row],[合計數]]</f>
        <v>0.181360201511335</v>
      </c>
      <c r="J29" s="337">
        <f>表格1[[#This Row],[累計完成]]/表格1[[#This Row],[合計數]]</f>
        <v>0.18639798488664988</v>
      </c>
      <c r="K29" s="334"/>
      <c r="L29" s="311"/>
    </row>
    <row r="30" spans="1:12" ht="15" hidden="1" customHeight="1">
      <c r="A30" s="114">
        <v>44433</v>
      </c>
      <c r="B30" s="314">
        <f>表格1[[#This Row],[日期]]</f>
        <v>44433</v>
      </c>
      <c r="C30" s="345">
        <f>COUNTA(URS確認!E:E)-1-112-13</f>
        <v>397</v>
      </c>
      <c r="D30" s="310">
        <f>COUNTIF(URS確認!K:K,"&lt;"&amp;A30+1)</f>
        <v>76</v>
      </c>
      <c r="E30" s="310">
        <f>COUNTIF(URS確認!L:L,"&lt;"&amp;A30+1)</f>
        <v>78</v>
      </c>
      <c r="F30" s="310">
        <f t="shared" si="5"/>
        <v>21</v>
      </c>
      <c r="G30" s="310">
        <f t="shared" si="5"/>
        <v>32</v>
      </c>
      <c r="H30" s="310" t="str">
        <f>IF(表格1[[#This Row],[本周完成]]&gt;表格1[[#This Row],[本周預計]],"提前",IF(表格1[[#This Row],[本周完成]]&lt;表格1[[#This Row],[本周預計]],"延遲","如期"))</f>
        <v>提前</v>
      </c>
      <c r="I30" s="337">
        <f>表格1[[#This Row],[累計預估]]/表格1[[#This Row],[合計數]]</f>
        <v>0.19143576826196473</v>
      </c>
      <c r="J30" s="337">
        <f>表格1[[#This Row],[累計完成]]/表格1[[#This Row],[合計數]]</f>
        <v>0.19647355163727959</v>
      </c>
      <c r="K30" s="334"/>
      <c r="L30" s="311"/>
    </row>
    <row r="31" spans="1:12" ht="15" hidden="1" customHeight="1">
      <c r="A31" s="114">
        <v>44434</v>
      </c>
      <c r="B31" s="314">
        <f>表格1[[#This Row],[日期]]</f>
        <v>44434</v>
      </c>
      <c r="C31" s="345">
        <f>COUNTA(URS確認!E:E)-1-112-13</f>
        <v>397</v>
      </c>
      <c r="D31" s="310">
        <f>COUNTIF(URS確認!K:K,"&lt;"&amp;A31+1)</f>
        <v>80</v>
      </c>
      <c r="E31" s="310">
        <f>COUNTIF(URS確認!L:L,"&lt;"&amp;A31+1)</f>
        <v>84</v>
      </c>
      <c r="F31" s="310">
        <f t="shared" si="5"/>
        <v>20</v>
      </c>
      <c r="G31" s="310">
        <f t="shared" si="5"/>
        <v>28</v>
      </c>
      <c r="H31" s="310" t="str">
        <f>IF(表格1[[#This Row],[本周完成]]&gt;表格1[[#This Row],[本周預計]],"提前",IF(表格1[[#This Row],[本周完成]]&lt;表格1[[#This Row],[本周預計]],"延遲","如期"))</f>
        <v>提前</v>
      </c>
      <c r="I31" s="337">
        <f>表格1[[#This Row],[累計預估]]/表格1[[#This Row],[合計數]]</f>
        <v>0.20151133501259447</v>
      </c>
      <c r="J31" s="337">
        <f>表格1[[#This Row],[累計完成]]/表格1[[#This Row],[合計數]]</f>
        <v>0.21158690176322417</v>
      </c>
      <c r="K31" s="334"/>
      <c r="L31" s="311"/>
    </row>
    <row r="32" spans="1:12" ht="15" customHeight="1">
      <c r="A32" s="118">
        <v>44435</v>
      </c>
      <c r="B32" s="335">
        <f>表格1[[#This Row],[日期]]</f>
        <v>44435</v>
      </c>
      <c r="C32" s="345">
        <f>COUNTA(URS確認!E:E)-1-1-2-8-1-112-6-1-2</f>
        <v>389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7">
        <f>表格1[[#This Row],[累計預估]]/表格1[[#This Row],[合計數]]</f>
        <v>0.21593830334190231</v>
      </c>
      <c r="J32" s="337">
        <f>表格1[[#This Row],[累計完成]]/表格1[[#This Row],[合計數]]</f>
        <v>0.2210796915167095</v>
      </c>
      <c r="K32" s="334"/>
      <c r="L32" s="311"/>
    </row>
    <row r="33" spans="1:12" ht="15" hidden="1" customHeight="1">
      <c r="A33" s="130">
        <v>44438</v>
      </c>
      <c r="B33" s="346">
        <f>表格1[[#This Row],[日期]]</f>
        <v>44438</v>
      </c>
      <c r="C33" s="345">
        <f>COUNTA(URS確認!E:E)-1-112-13</f>
        <v>397</v>
      </c>
      <c r="D33" s="131">
        <f>COUNTIF(URS確認!K:K,"&lt;"&amp;A33+1)</f>
        <v>89</v>
      </c>
      <c r="E33" s="131">
        <f>COUNTIF(URS確認!L:L,"&lt;"&amp;A33+1)</f>
        <v>93</v>
      </c>
      <c r="F33" s="131">
        <f t="shared" ref="F33:G36" si="6">D37-D32</f>
        <v>22</v>
      </c>
      <c r="G33" s="131">
        <f t="shared" si="6"/>
        <v>20</v>
      </c>
      <c r="H33" s="131" t="str">
        <f>IF(表格1[[#This Row],[本周完成]]&gt;表格1[[#This Row],[本周預計]],"提前",IF(表格1[[#This Row],[本周完成]]&lt;表格1[[#This Row],[本周預計]],"延遲","如期"))</f>
        <v>延遲</v>
      </c>
      <c r="I33" s="337">
        <f>表格1[[#This Row],[累計預估]]/表格1[[#This Row],[合計數]]</f>
        <v>0.22418136020151133</v>
      </c>
      <c r="J33" s="337">
        <f>表格1[[#This Row],[累計完成]]/表格1[[#This Row],[合計數]]</f>
        <v>0.23425692695214106</v>
      </c>
      <c r="K33" s="334"/>
      <c r="L33" s="311"/>
    </row>
    <row r="34" spans="1:12" ht="15" hidden="1" customHeight="1">
      <c r="A34" s="309">
        <v>44439</v>
      </c>
      <c r="B34" s="314">
        <f>表格1[[#This Row],[日期]]</f>
        <v>44439</v>
      </c>
      <c r="C34" s="345">
        <f>COUNTA(URS確認!E:E)-1-112-13</f>
        <v>397</v>
      </c>
      <c r="D34" s="310">
        <f>COUNTIF(URS確認!K:K,"&lt;"&amp;A34+1)</f>
        <v>93</v>
      </c>
      <c r="E34" s="310">
        <f>COUNTIF(URS確認!L:L,"&lt;"&amp;A34+1)</f>
        <v>106</v>
      </c>
      <c r="F34" s="310">
        <f t="shared" si="6"/>
        <v>28</v>
      </c>
      <c r="G34" s="310">
        <f t="shared" si="6"/>
        <v>24</v>
      </c>
      <c r="H34" s="310" t="str">
        <f>IF(表格1[[#This Row],[本周完成]]&gt;表格1[[#This Row],[本周預計]],"提前",IF(表格1[[#This Row],[本周完成]]&lt;表格1[[#This Row],[本周預計]],"延遲","如期"))</f>
        <v>延遲</v>
      </c>
      <c r="I34" s="337">
        <f>表格1[[#This Row],[累計預估]]/表格1[[#This Row],[合計數]]</f>
        <v>0.23425692695214106</v>
      </c>
      <c r="J34" s="337">
        <f>表格1[[#This Row],[累計完成]]/表格1[[#This Row],[合計數]]</f>
        <v>0.26700251889168763</v>
      </c>
      <c r="K34" s="334"/>
      <c r="L34" s="311"/>
    </row>
    <row r="35" spans="1:12" ht="15" hidden="1" customHeight="1">
      <c r="A35" s="309">
        <v>44440</v>
      </c>
      <c r="B35" s="314">
        <f>表格1[[#This Row],[日期]]</f>
        <v>44440</v>
      </c>
      <c r="C35" s="345">
        <f>COUNTA(URS確認!E:E)-1-112-13</f>
        <v>397</v>
      </c>
      <c r="D35" s="310">
        <f>COUNTIF(URS確認!K:K,"&lt;"&amp;A35+1)</f>
        <v>96</v>
      </c>
      <c r="E35" s="310">
        <f>COUNTIF(URS確認!L:L,"&lt;"&amp;A35+1)</f>
        <v>106</v>
      </c>
      <c r="F35" s="310">
        <f t="shared" si="6"/>
        <v>51</v>
      </c>
      <c r="G35" s="310">
        <f t="shared" si="6"/>
        <v>38</v>
      </c>
      <c r="H35" s="310" t="str">
        <f>IF(表格1[[#This Row],[本周完成]]&gt;表格1[[#This Row],[本周預計]],"提前",IF(表格1[[#This Row],[本周完成]]&lt;表格1[[#This Row],[本周預計]],"延遲","如期"))</f>
        <v>延遲</v>
      </c>
      <c r="I35" s="337">
        <f>表格1[[#This Row],[累計預估]]/表格1[[#This Row],[合計數]]</f>
        <v>0.24181360201511334</v>
      </c>
      <c r="J35" s="337">
        <f>表格1[[#This Row],[累計完成]]/表格1[[#This Row],[合計數]]</f>
        <v>0.26700251889168763</v>
      </c>
      <c r="K35" s="334"/>
      <c r="L35" s="311"/>
    </row>
    <row r="36" spans="1:12" ht="15" hidden="1" customHeight="1">
      <c r="A36" s="309">
        <v>44441</v>
      </c>
      <c r="B36" s="347">
        <f>表格1[[#This Row],[日期]]</f>
        <v>44441</v>
      </c>
      <c r="C36" s="345">
        <f>COUNTA(URS確認!E:E)-1-112-13</f>
        <v>397</v>
      </c>
      <c r="D36" s="132">
        <f>COUNTIF(URS確認!K:K,"&lt;"&amp;A36+1)</f>
        <v>101</v>
      </c>
      <c r="E36" s="132">
        <f>COUNTIF(URS確認!L:L,"&lt;"&amp;A36+1)</f>
        <v>106</v>
      </c>
      <c r="F36" s="132">
        <f t="shared" si="6"/>
        <v>65</v>
      </c>
      <c r="G36" s="132">
        <f t="shared" si="6"/>
        <v>67</v>
      </c>
      <c r="H36" s="132" t="str">
        <f>IF(表格1[[#This Row],[本周完成]]&gt;表格1[[#This Row],[本周預計]],"提前",IF(表格1[[#This Row],[本周完成]]&lt;表格1[[#This Row],[本周預計]],"延遲","如期"))</f>
        <v>提前</v>
      </c>
      <c r="I36" s="337">
        <f>表格1[[#This Row],[累計預估]]/表格1[[#This Row],[合計數]]</f>
        <v>0.25440806045340053</v>
      </c>
      <c r="J36" s="337">
        <f>表格1[[#This Row],[累計完成]]/表格1[[#This Row],[合計數]]</f>
        <v>0.26700251889168763</v>
      </c>
      <c r="K36" s="334"/>
      <c r="L36" s="311"/>
    </row>
    <row r="37" spans="1:12" ht="15" hidden="1" customHeight="1">
      <c r="A37" s="48">
        <v>44442</v>
      </c>
      <c r="B37" s="348">
        <f>表格1[[#This Row],[日期]]</f>
        <v>44442</v>
      </c>
      <c r="C37" s="345">
        <f>COUNTA(URS確認!E:E)-1-1-2-8-1-112-6-1-2</f>
        <v>389</v>
      </c>
      <c r="D37" s="133">
        <f>COUNTIF(URS確認!K:K,"&lt;"&amp;A37+1)</f>
        <v>106</v>
      </c>
      <c r="E37" s="133">
        <f>COUNTIF(URS確認!L:L,"&lt;"&amp;A37+1)</f>
        <v>106</v>
      </c>
      <c r="F37" s="133">
        <f>表格1[[#This Row],[累計預估]]-D32</f>
        <v>22</v>
      </c>
      <c r="G37" s="133">
        <f>表格1[[#This Row],[累計完成]]-E32</f>
        <v>20</v>
      </c>
      <c r="H37" s="133" t="str">
        <f>IF(表格1[[#This Row],[本周完成]]&gt;表格1[[#This Row],[本周預計]],"提前",IF(表格1[[#This Row],[本周完成]]&lt;表格1[[#This Row],[本周預計]],"延遲","如期"))</f>
        <v>延遲</v>
      </c>
      <c r="I37" s="337">
        <f>表格1[[#This Row],[累計預估]]/表格1[[#This Row],[合計數]]</f>
        <v>0.27249357326478146</v>
      </c>
      <c r="J37" s="337">
        <f>表格1[[#This Row],[累計完成]]/表格1[[#This Row],[合計數]]</f>
        <v>0.27249357326478146</v>
      </c>
      <c r="K37" s="334"/>
      <c r="L37" s="311"/>
    </row>
    <row r="38" spans="1:12" ht="15" hidden="1" customHeight="1">
      <c r="A38" s="143">
        <v>44449</v>
      </c>
      <c r="B38" s="349">
        <f>表格1[[#This Row],[日期]]</f>
        <v>44449</v>
      </c>
      <c r="C38" s="345">
        <f>COUNTA(URS確認!E:E)-1-1-2-8-1-112-6-1-2</f>
        <v>389</v>
      </c>
      <c r="D38" s="144">
        <f>COUNTIF(URS確認!K:K,"&lt;"&amp;A38+1)</f>
        <v>117</v>
      </c>
      <c r="E38" s="144">
        <f>COUNTIF(URS確認!L:L,"&lt;"&amp;A38+1)</f>
        <v>117</v>
      </c>
      <c r="F38" s="144">
        <f>表格1[[#This Row],[累計預估]]-D37</f>
        <v>11</v>
      </c>
      <c r="G38" s="144">
        <f>表格1[[#This Row],[累計完成]]-E37</f>
        <v>11</v>
      </c>
      <c r="H38" s="144" t="str">
        <f>IF(表格1[[#This Row],[本周完成]]&gt;表格1[[#This Row],[本周預計]],"提前",IF(表格1[[#This Row],[本周完成]]&lt;表格1[[#This Row],[本周預計]],"延遲","如期"))</f>
        <v>如期</v>
      </c>
      <c r="I38" s="337">
        <f>表格1[[#This Row],[累計預估]]/表格1[[#This Row],[合計數]]</f>
        <v>0.30077120822622105</v>
      </c>
      <c r="J38" s="337">
        <f>表格1[[#This Row],[累計完成]]/表格1[[#This Row],[合計數]]</f>
        <v>0.30077120822622105</v>
      </c>
      <c r="K38" s="334"/>
      <c r="L38" s="311"/>
    </row>
    <row r="39" spans="1:12" ht="15" hidden="1" customHeight="1">
      <c r="A39" s="143">
        <v>44456</v>
      </c>
      <c r="B39" s="349">
        <f>表格1[[#This Row],[日期]]</f>
        <v>44456</v>
      </c>
      <c r="C39" s="345">
        <f>COUNTA(URS確認!E:E)-1-1-2-8-1-112-6-1-2</f>
        <v>389</v>
      </c>
      <c r="D39" s="144">
        <f>COUNTIF(URS確認!K:K,"&lt;"&amp;A39+1)</f>
        <v>144</v>
      </c>
      <c r="E39" s="144">
        <f>COUNTIF(URS確認!L:L,"&lt;"&amp;A39+1)</f>
        <v>144</v>
      </c>
      <c r="F39" s="144">
        <f>表格1[[#This Row],[累計預估]]-D38</f>
        <v>27</v>
      </c>
      <c r="G39" s="144">
        <f>表格1[[#This Row],[累計完成]]-E38</f>
        <v>27</v>
      </c>
      <c r="H39" s="144" t="str">
        <f>IF(表格1[[#This Row],[本周完成]]&gt;表格1[[#This Row],[本周預計]],"提前",IF(表格1[[#This Row],[本周完成]]&lt;表格1[[#This Row],[本周預計]],"延遲","如期"))</f>
        <v>如期</v>
      </c>
      <c r="I39" s="337">
        <f>表格1[[#This Row],[累計預估]]/表格1[[#This Row],[合計數]]</f>
        <v>0.37017994858611825</v>
      </c>
      <c r="J39" s="337">
        <f>表格1[[#This Row],[累計完成]]/表格1[[#This Row],[合計數]]</f>
        <v>0.37017994858611825</v>
      </c>
      <c r="K39" s="334"/>
      <c r="L39" s="311"/>
    </row>
    <row r="40" spans="1:12" ht="15" hidden="1" customHeight="1">
      <c r="A40" s="48">
        <v>44463</v>
      </c>
      <c r="B40" s="335">
        <f>表格1[[#This Row],[日期]]</f>
        <v>44463</v>
      </c>
      <c r="C40" s="345">
        <f>COUNTA(URS確認!E:E)-1-1-2-8-1-112-6-1-2</f>
        <v>389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7">
        <f>表格1[[#This Row],[累計預估]]/表格1[[#This Row],[合計數]]</f>
        <v>0.41388174807197942</v>
      </c>
      <c r="J40" s="337">
        <f>表格1[[#This Row],[累計完成]]/表格1[[#This Row],[合計數]]</f>
        <v>0.44473007712082263</v>
      </c>
      <c r="K40" s="334" t="s">
        <v>85</v>
      </c>
      <c r="L40" s="311"/>
    </row>
    <row r="41" spans="1:12" ht="15" customHeight="1">
      <c r="A41" s="48">
        <v>44470</v>
      </c>
      <c r="B41" s="335">
        <f>表格1[[#This Row],[日期]]</f>
        <v>44470</v>
      </c>
      <c r="C41" s="345">
        <f>COUNTA(URS確認!E:E)-1-1-2-8-1-112-6-2</f>
        <v>390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7">
        <f>表格1[[#This Row],[累計預估]]/表格1[[#This Row],[合計數]]</f>
        <v>0.48974358974358972</v>
      </c>
      <c r="J41" s="337">
        <f>表格1[[#This Row],[累計完成]]/表格1[[#This Row],[合計數]]</f>
        <v>0.55897435897435899</v>
      </c>
      <c r="K41" s="334"/>
      <c r="L41" s="311"/>
    </row>
    <row r="42" spans="1:12" ht="15" hidden="1" customHeight="1">
      <c r="A42" s="48">
        <v>44477</v>
      </c>
      <c r="B42" s="335">
        <f>表格1[[#This Row],[日期]]</f>
        <v>44477</v>
      </c>
      <c r="C42" s="345">
        <f>COUNTA(URS確認!E:E)-1-1-2-8-1-112-6-1</f>
        <v>391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7">
        <f>表格1[[#This Row],[累計預估]]/表格1[[#This Row],[合計數]]</f>
        <v>0.54987212276214836</v>
      </c>
      <c r="J42" s="337">
        <f>表格1[[#This Row],[累計完成]]/表格1[[#This Row],[合計數]]</f>
        <v>0.57800511508951402</v>
      </c>
      <c r="K42" s="334"/>
      <c r="L42" s="311"/>
    </row>
    <row r="43" spans="1:12" ht="15" hidden="1" customHeight="1">
      <c r="A43" s="48">
        <v>44484</v>
      </c>
      <c r="B43" s="335">
        <f>表格1[[#This Row],[日期]]</f>
        <v>44484</v>
      </c>
      <c r="C43" s="345">
        <f>COUNTA(URS確認!E:E)-1-1-2-8-1-112-6-1</f>
        <v>391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7">
        <f>表格1[[#This Row],[累計預估]]/表格1[[#This Row],[合計數]]</f>
        <v>0.57289002557544755</v>
      </c>
      <c r="J43" s="337">
        <f>表格1[[#This Row],[累計完成]]/表格1[[#This Row],[合計數]]</f>
        <v>0.66240409207161122</v>
      </c>
      <c r="K43" s="334"/>
      <c r="L43" s="311"/>
    </row>
    <row r="44" spans="1:12" ht="15" hidden="1" customHeight="1">
      <c r="A44" s="309">
        <v>44487</v>
      </c>
      <c r="B44" s="314">
        <f>表格1[[#This Row],[日期]]</f>
        <v>44487</v>
      </c>
      <c r="C44" s="315">
        <f>COUNTA(URS確認!E:E)-1-112-13</f>
        <v>397</v>
      </c>
      <c r="D44" s="310">
        <f>COUNTIF(URS確認!K:K,"&lt;"&amp;A44+1)</f>
        <v>239</v>
      </c>
      <c r="E44" s="310">
        <f>COUNTIF(URS確認!L:L,"&lt;"&amp;A44+1)</f>
        <v>272</v>
      </c>
      <c r="H44" s="310" t="str">
        <f>IF(表格1[[#This Row],[本周完成]]&gt;表格1[[#This Row],[本周預計]],"提前",IF(表格1[[#This Row],[本周完成]]&lt;表格1[[#This Row],[本周預計]],"延遲","如期"))</f>
        <v>如期</v>
      </c>
      <c r="I44" s="316">
        <f>表格1[[#This Row],[累計預估]]/表格1[[#This Row],[合計數]]</f>
        <v>0.60201511335012592</v>
      </c>
      <c r="J44" s="316">
        <f>表格1[[#This Row],[累計完成]]/表格1[[#This Row],[合計數]]</f>
        <v>0.68513853904282118</v>
      </c>
      <c r="K44" s="334"/>
      <c r="L44" s="311"/>
    </row>
    <row r="45" spans="1:12" ht="15" hidden="1" customHeight="1">
      <c r="A45" s="309">
        <v>44487</v>
      </c>
      <c r="B45" s="314">
        <f>表格1[[#This Row],[日期]]</f>
        <v>44487</v>
      </c>
      <c r="C45" s="315">
        <f>COUNTA(URS確認!E:E)-1-1-2-8-1-112-6-1</f>
        <v>391</v>
      </c>
      <c r="D45" s="310">
        <f>COUNTIF(URS確認!K:K,"&lt;"&amp;A45+1)</f>
        <v>239</v>
      </c>
      <c r="E45" s="310">
        <f>COUNTIF(URS確認!L:L,"&lt;"&amp;A45+1)</f>
        <v>272</v>
      </c>
      <c r="F45" s="310">
        <f>D49-D44</f>
        <v>28</v>
      </c>
      <c r="G45" s="310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6">
        <f>表格1[[#This Row],[累計預估]]/表格1[[#This Row],[合計數]]</f>
        <v>0.61125319693094626</v>
      </c>
      <c r="J45" s="316">
        <f>表格1[[#This Row],[累計完成]]/表格1[[#This Row],[合計數]]</f>
        <v>0.69565217391304346</v>
      </c>
      <c r="K45" s="334" t="s">
        <v>85</v>
      </c>
      <c r="L45" s="311"/>
    </row>
    <row r="46" spans="1:12" ht="15" hidden="1" customHeight="1">
      <c r="A46" s="309">
        <v>44488</v>
      </c>
      <c r="B46" s="314">
        <f>表格1[[#This Row],[日期]]</f>
        <v>44488</v>
      </c>
      <c r="C46" s="315">
        <f>COUNTA(URS確認!E:E)-1-1-2-8-1-112-6</f>
        <v>392</v>
      </c>
      <c r="D46" s="310">
        <f>COUNTIF(URS確認!K:K,"&lt;"&amp;A46+1)</f>
        <v>247</v>
      </c>
      <c r="E46" s="310">
        <f>COUNTIF(URS確認!L:L,"&lt;"&amp;A46+1)</f>
        <v>281</v>
      </c>
      <c r="H46" s="310" t="str">
        <f>IF(表格1[[#This Row],[本周完成]]&gt;表格1[[#This Row],[本周預計]],"提前",IF(表格1[[#This Row],[本周完成]]&lt;表格1[[#This Row],[本周預計]],"延遲","如期"))</f>
        <v>如期</v>
      </c>
      <c r="I46" s="316">
        <f>表格1[[#This Row],[累計預估]]/表格1[[#This Row],[合計數]]</f>
        <v>0.63010204081632648</v>
      </c>
      <c r="J46" s="316">
        <f>表格1[[#This Row],[累計完成]]/表格1[[#This Row],[合計數]]</f>
        <v>0.71683673469387754</v>
      </c>
      <c r="K46" s="334" t="s">
        <v>86</v>
      </c>
      <c r="L46" s="311"/>
    </row>
    <row r="47" spans="1:12" ht="15" hidden="1" customHeight="1">
      <c r="A47" s="309">
        <v>44489</v>
      </c>
      <c r="B47" s="314">
        <f>表格1[[#This Row],[日期]]</f>
        <v>44489</v>
      </c>
      <c r="C47" s="315">
        <f>COUNTA(URS確認!E:E)-1-1-2-8-1-112</f>
        <v>398</v>
      </c>
      <c r="D47" s="310">
        <f>COUNTIF(URS確認!K:K,"&lt;"&amp;A47+1)</f>
        <v>251</v>
      </c>
      <c r="E47" s="310">
        <f>COUNTIF(URS確認!L:L,"&lt;"&amp;A47+1)</f>
        <v>285</v>
      </c>
      <c r="H47" s="310" t="str">
        <f>IF(表格1[[#This Row],[本周完成]]&gt;表格1[[#This Row],[本周預計]],"提前",IF(表格1[[#This Row],[本周完成]]&lt;表格1[[#This Row],[本周預計]],"延遲","如期"))</f>
        <v>如期</v>
      </c>
      <c r="I47" s="316">
        <f>表格1[[#This Row],[累計預估]]/表格1[[#This Row],[合計數]]</f>
        <v>0.6306532663316583</v>
      </c>
      <c r="J47" s="316">
        <f>表格1[[#This Row],[累計完成]]/表格1[[#This Row],[合計數]]</f>
        <v>0.7160804020100503</v>
      </c>
      <c r="K47" s="334"/>
      <c r="L47" s="311"/>
    </row>
    <row r="48" spans="1:12" ht="15" hidden="1" customHeight="1">
      <c r="A48" s="309">
        <v>44490</v>
      </c>
      <c r="B48" s="314">
        <f>表格1[[#This Row],[日期]]</f>
        <v>44490</v>
      </c>
      <c r="C48" s="315">
        <f>COUNTA(URS確認!E:E)-1-1-2-8-1-112</f>
        <v>398</v>
      </c>
      <c r="D48" s="310">
        <f>COUNTIF(URS確認!K:K,"&lt;"&amp;A48+1)</f>
        <v>259</v>
      </c>
      <c r="E48" s="310">
        <f>COUNTIF(URS確認!L:L,"&lt;"&amp;A48+1)</f>
        <v>294</v>
      </c>
      <c r="H48" s="310" t="str">
        <f>IF(表格1[[#This Row],[本周完成]]&gt;表格1[[#This Row],[本周預計]],"提前",IF(表格1[[#This Row],[本周完成]]&lt;表格1[[#This Row],[本周預計]],"延遲","如期"))</f>
        <v>如期</v>
      </c>
      <c r="I48" s="316">
        <f>表格1[[#This Row],[累計預估]]/表格1[[#This Row],[合計數]]</f>
        <v>0.65075376884422109</v>
      </c>
      <c r="J48" s="316">
        <f>表格1[[#This Row],[累計完成]]/表格1[[#This Row],[合計數]]</f>
        <v>0.7386934673366834</v>
      </c>
      <c r="K48" s="334" t="s">
        <v>87</v>
      </c>
      <c r="L48" s="311"/>
    </row>
    <row r="49" spans="1:12" ht="15" hidden="1" customHeight="1">
      <c r="A49" s="48">
        <v>44491</v>
      </c>
      <c r="B49" s="335">
        <f>表格1[[#This Row],[日期]]</f>
        <v>44491</v>
      </c>
      <c r="C49" s="336">
        <f>COUNTA(URS確認!E:E)-1-2-8-1</f>
        <v>511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7">
        <f>表格1[[#This Row],[累計預估]]/表格1[[#This Row],[合計數]]</f>
        <v>0.52250489236790609</v>
      </c>
      <c r="J49" s="337">
        <f>表格1[[#This Row],[累計完成]]/表格1[[#This Row],[合計數]]</f>
        <v>0.58121330724070452</v>
      </c>
      <c r="K49" s="334"/>
      <c r="L49" s="311"/>
    </row>
    <row r="50" spans="1:12" ht="15" hidden="1" customHeight="1">
      <c r="A50" s="218">
        <v>44494</v>
      </c>
      <c r="B50" s="350">
        <f>表格1[[#This Row],[日期]]</f>
        <v>44494</v>
      </c>
      <c r="C50" s="351">
        <f>COUNTA(URS確認!E:E)-1-2-8-1</f>
        <v>511</v>
      </c>
      <c r="D50" s="219">
        <f>COUNTIF(URS確認!K:K,"&lt;"&amp;A50+1)</f>
        <v>280</v>
      </c>
      <c r="E50" s="219">
        <f>COUNTIF(URS確認!L:L,"&lt;"&amp;A50+1)</f>
        <v>309</v>
      </c>
      <c r="F50" s="310">
        <v>33</v>
      </c>
      <c r="G50" s="310">
        <f>E65-E49</f>
        <v>187</v>
      </c>
      <c r="H50" s="310" t="str">
        <f>IF(表格1[[#This Row],[本周完成]]&gt;表格1[[#This Row],[本周預計]],"提前",IF(表格1[[#This Row],[本周完成]]&lt;表格1[[#This Row],[本周預計]],"延遲","如期"))</f>
        <v>提前</v>
      </c>
      <c r="I50" s="352">
        <f>表格1[[#This Row],[累計預估]]/表格1[[#This Row],[合計數]]</f>
        <v>0.54794520547945202</v>
      </c>
      <c r="J50" s="352">
        <f>表格1[[#This Row],[累計完成]]/表格1[[#This Row],[合計數]]</f>
        <v>0.6046966731898239</v>
      </c>
      <c r="K50" s="334" t="s">
        <v>85</v>
      </c>
      <c r="L50" s="311"/>
    </row>
    <row r="51" spans="1:12" ht="15" hidden="1" customHeight="1">
      <c r="A51" s="218">
        <v>44495</v>
      </c>
      <c r="B51" s="314">
        <f>表格1[[#This Row],[日期]]</f>
        <v>44495</v>
      </c>
      <c r="C51" s="315">
        <f>COUNTA(URS確認!E:E)-1-2-8</f>
        <v>512</v>
      </c>
      <c r="D51" s="310">
        <f>COUNTIF(URS確認!K:K,"&lt;"&amp;A51+1)</f>
        <v>280</v>
      </c>
      <c r="E51" s="310">
        <f>COUNTIF(URS確認!L:L,"&lt;"&amp;A51+1)</f>
        <v>309</v>
      </c>
      <c r="F51" s="310">
        <f>D65-D50</f>
        <v>204</v>
      </c>
      <c r="G51" s="310">
        <f>E65-E50</f>
        <v>175</v>
      </c>
      <c r="H51" s="310" t="str">
        <f>IF(表格1[[#This Row],[本周完成]]&gt;表格1[[#This Row],[本周預計]],"提前",IF(表格1[[#This Row],[本周完成]]&lt;表格1[[#This Row],[本周預計]],"延遲","如期"))</f>
        <v>延遲</v>
      </c>
      <c r="I51" s="316">
        <f>表格1[[#This Row],[累計預估]]/表格1[[#This Row],[合計數]]</f>
        <v>0.546875</v>
      </c>
      <c r="J51" s="316">
        <f>表格1[[#This Row],[累計完成]]/表格1[[#This Row],[合計數]]</f>
        <v>0.603515625</v>
      </c>
      <c r="K51" s="334" t="s">
        <v>88</v>
      </c>
      <c r="L51" s="311"/>
    </row>
    <row r="52" spans="1:12" ht="15" hidden="1" customHeight="1">
      <c r="A52" s="218">
        <v>44496</v>
      </c>
      <c r="B52" s="314">
        <f>表格1[[#This Row],[日期]]</f>
        <v>44496</v>
      </c>
      <c r="C52" s="315">
        <f>COUNTA(URS確認!E:E)-1-2</f>
        <v>520</v>
      </c>
      <c r="D52" s="310">
        <f>COUNTIF(URS確認!K:K,"&lt;"&amp;A52+1)</f>
        <v>288</v>
      </c>
      <c r="E52" s="310">
        <f>COUNTIF(URS確認!L:L,"&lt;"&amp;A52+1)</f>
        <v>324</v>
      </c>
      <c r="F52" s="310">
        <f>D65-D51</f>
        <v>204</v>
      </c>
      <c r="G52" s="310">
        <f>E65-E51</f>
        <v>175</v>
      </c>
      <c r="H52" s="310" t="str">
        <f>IF(表格1[[#This Row],[本周完成]]&gt;表格1[[#This Row],[本周預計]],"提前",IF(表格1[[#This Row],[本周完成]]&lt;表格1[[#This Row],[本周預計]],"延遲","如期"))</f>
        <v>延遲</v>
      </c>
      <c r="I52" s="316">
        <f>表格1[[#This Row],[累計預估]]/表格1[[#This Row],[合計數]]</f>
        <v>0.55384615384615388</v>
      </c>
      <c r="J52" s="316">
        <f>表格1[[#This Row],[累計完成]]/表格1[[#This Row],[合計數]]</f>
        <v>0.62307692307692308</v>
      </c>
      <c r="K52" s="334"/>
      <c r="L52" s="311"/>
    </row>
    <row r="53" spans="1:12" ht="15" hidden="1" customHeight="1">
      <c r="A53" s="218">
        <v>44497</v>
      </c>
      <c r="B53" s="314">
        <f>表格1[[#This Row],[日期]]</f>
        <v>44497</v>
      </c>
      <c r="C53" s="315">
        <f>COUNTA(URS確認!E:E)-1-2</f>
        <v>520</v>
      </c>
      <c r="D53" s="310">
        <f>COUNTIF(URS確認!K:K,"&lt;"&amp;A53+1)</f>
        <v>295</v>
      </c>
      <c r="E53" s="310">
        <f>COUNTIF(URS確認!L:L,"&lt;"&amp;A53+1)</f>
        <v>324</v>
      </c>
      <c r="F53" s="310">
        <f>D65-D52</f>
        <v>196</v>
      </c>
      <c r="G53" s="310">
        <f>E65-E52</f>
        <v>160</v>
      </c>
      <c r="H53" s="310" t="str">
        <f>IF(表格1[[#This Row],[本周完成]]&gt;表格1[[#This Row],[本周預計]],"提前",IF(表格1[[#This Row],[本周完成]]&lt;表格1[[#This Row],[本周預計]],"延遲","如期"))</f>
        <v>延遲</v>
      </c>
      <c r="I53" s="316">
        <f>表格1[[#This Row],[累計預估]]/表格1[[#This Row],[合計數]]</f>
        <v>0.56730769230769229</v>
      </c>
      <c r="J53" s="316">
        <f>表格1[[#This Row],[累計完成]]/表格1[[#This Row],[合計數]]</f>
        <v>0.62307692307692308</v>
      </c>
      <c r="K53" s="334" t="s">
        <v>89</v>
      </c>
      <c r="L53" s="311"/>
    </row>
    <row r="54" spans="1:12" ht="15" customHeight="1">
      <c r="A54" s="48">
        <v>44498</v>
      </c>
      <c r="B54" s="335">
        <f>表格1[[#This Row],[日期]]</f>
        <v>44498</v>
      </c>
      <c r="C54" s="336">
        <f>COUNTA(URS確認!E:E)-1-2</f>
        <v>520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63" t="s">
        <v>90</v>
      </c>
      <c r="I54" s="337">
        <f>表格1[[#This Row],[累計預估]]/表格1[[#This Row],[合計數]]</f>
        <v>0.58269230769230773</v>
      </c>
      <c r="J54" s="337">
        <f>表格1[[#This Row],[累計完成]]/表格1[[#This Row],[合計數]]</f>
        <v>0.65</v>
      </c>
      <c r="K54" s="334"/>
      <c r="L54" s="311"/>
    </row>
    <row r="55" spans="1:12" ht="15" hidden="1" customHeight="1">
      <c r="A55" s="309">
        <v>44501</v>
      </c>
      <c r="B55" s="314">
        <f>表格1[[#This Row],[日期]]</f>
        <v>44501</v>
      </c>
      <c r="C55" s="315">
        <f>COUNTA(URS確認!E:E)-1-2</f>
        <v>520</v>
      </c>
      <c r="D55" s="310">
        <f>COUNTIF(URS確認!K:K,"&lt;"&amp;A55+1)</f>
        <v>303</v>
      </c>
      <c r="E55" s="310">
        <f>COUNTIF(URS確認!L:L,"&lt;"&amp;A55+1)</f>
        <v>338</v>
      </c>
      <c r="F55" s="310">
        <f>D66-D54</f>
        <v>210</v>
      </c>
      <c r="G55" s="310">
        <f>E66-E54</f>
        <v>146</v>
      </c>
      <c r="H55" s="264" t="s">
        <v>90</v>
      </c>
      <c r="I55" s="316">
        <f>表格1[[#This Row],[累計預估]]/表格1[[#This Row],[合計數]]</f>
        <v>0.58269230769230773</v>
      </c>
      <c r="J55" s="316">
        <f>表格1[[#This Row],[累計完成]]/表格1[[#This Row],[合計數]]</f>
        <v>0.65</v>
      </c>
      <c r="K55" s="334"/>
      <c r="L55" s="311"/>
    </row>
    <row r="56" spans="1:12" ht="15" hidden="1" customHeight="1">
      <c r="A56" s="309">
        <v>44502</v>
      </c>
      <c r="B56" s="314">
        <f>表格1[[#This Row],[日期]]</f>
        <v>44502</v>
      </c>
      <c r="C56" s="315">
        <f>COUNTA(URS確認!E:E)-1-1</f>
        <v>521</v>
      </c>
      <c r="D56" s="310">
        <f>COUNTIF(URS確認!K:K,"&lt;"&amp;A56+1)</f>
        <v>305</v>
      </c>
      <c r="E56" s="310">
        <f>COUNTIF(URS確認!L:L,"&lt;"&amp;A56+1)</f>
        <v>338</v>
      </c>
      <c r="F56" s="310">
        <f>D66-D55</f>
        <v>210</v>
      </c>
      <c r="G56" s="310">
        <f>E66-E55</f>
        <v>146</v>
      </c>
      <c r="H56" s="264" t="s">
        <v>90</v>
      </c>
      <c r="I56" s="316">
        <f>表格1[[#This Row],[累計預估]]/表格1[[#This Row],[合計數]]</f>
        <v>0.58541266794625724</v>
      </c>
      <c r="J56" s="316">
        <f>表格1[[#This Row],[累計完成]]/表格1[[#This Row],[合計數]]</f>
        <v>0.6487523992322457</v>
      </c>
      <c r="K56" s="334" t="s">
        <v>85</v>
      </c>
      <c r="L56" s="311"/>
    </row>
    <row r="57" spans="1:12" ht="15" hidden="1" customHeight="1">
      <c r="A57" s="309">
        <v>44503</v>
      </c>
      <c r="B57" s="314">
        <f>表格1[[#This Row],[日期]]</f>
        <v>44503</v>
      </c>
      <c r="C57" s="315">
        <f>COUNTA(URS確認!E:E)-1</f>
        <v>522</v>
      </c>
      <c r="D57" s="310">
        <f>COUNTIF(URS確認!K:K,"&lt;"&amp;A57+1)</f>
        <v>310</v>
      </c>
      <c r="E57" s="310">
        <f>COUNTIF(URS確認!L:L,"&lt;"&amp;A57+1)</f>
        <v>347</v>
      </c>
      <c r="F57" s="310">
        <f>D65-D56</f>
        <v>179</v>
      </c>
      <c r="G57" s="310">
        <f>E65-E56</f>
        <v>146</v>
      </c>
      <c r="H57" s="264" t="s">
        <v>91</v>
      </c>
      <c r="I57" s="316">
        <f>表格1[[#This Row],[累計預估]]/表格1[[#This Row],[合計數]]</f>
        <v>0.5938697318007663</v>
      </c>
      <c r="J57" s="316">
        <f>表格1[[#This Row],[累計完成]]/表格1[[#This Row],[合計數]]</f>
        <v>0.66475095785440608</v>
      </c>
      <c r="K57" s="334" t="s">
        <v>85</v>
      </c>
      <c r="L57" s="311"/>
    </row>
    <row r="58" spans="1:12" ht="15" hidden="1" customHeight="1">
      <c r="A58" s="309">
        <v>44504</v>
      </c>
      <c r="B58" s="314">
        <f>表格1[[#This Row],[日期]]</f>
        <v>44504</v>
      </c>
      <c r="C58" s="315">
        <f>COUNTA(URS確認!E:E)-1</f>
        <v>522</v>
      </c>
      <c r="D58" s="310">
        <f>COUNTIF(URS確認!K:K,"&lt;"&amp;A58+1)</f>
        <v>317</v>
      </c>
      <c r="E58" s="310">
        <f>COUNTIF(URS確認!L:L,"&lt;"&amp;A58+1)</f>
        <v>352</v>
      </c>
      <c r="F58" s="310">
        <f>D66-D57</f>
        <v>203</v>
      </c>
      <c r="G58" s="310">
        <f>E66-E57</f>
        <v>137</v>
      </c>
      <c r="I58" s="316">
        <f>表格1[[#This Row],[累計預估]]/表格1[[#This Row],[合計數]]</f>
        <v>0.60727969348659006</v>
      </c>
      <c r="J58" s="316">
        <f>表格1[[#This Row],[累計完成]]/表格1[[#This Row],[合計數]]</f>
        <v>0.67432950191570884</v>
      </c>
      <c r="K58" s="334"/>
      <c r="L58" s="311"/>
    </row>
    <row r="59" spans="1:12" ht="15" customHeight="1">
      <c r="A59" s="48">
        <v>44505</v>
      </c>
      <c r="B59" s="335">
        <f>表格1[[#This Row],[日期]]</f>
        <v>44505</v>
      </c>
      <c r="C59" s="336">
        <f>COUNTA(URS確認!E:E)-1</f>
        <v>522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7">
        <f>表格1[[#This Row],[累計預估]]/表格1[[#This Row],[合計數]]</f>
        <v>0.61685823754789271</v>
      </c>
      <c r="J59" s="337">
        <f>表格1[[#This Row],[累計完成]]/表格1[[#This Row],[合計數]]</f>
        <v>0.68390804597701149</v>
      </c>
      <c r="K59" s="334"/>
      <c r="L59" s="311"/>
    </row>
    <row r="60" spans="1:12" ht="15" customHeight="1">
      <c r="A60" s="48">
        <v>44512</v>
      </c>
      <c r="B60" s="335">
        <f>表格1[[#This Row],[日期]]</f>
        <v>44512</v>
      </c>
      <c r="C60" s="336">
        <f>COUNTA(URS確認!E:E)-1</f>
        <v>522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7">
        <f>表格1[[#This Row],[累計預估]]/表格1[[#This Row],[合計數]]</f>
        <v>0.61685823754789271</v>
      </c>
      <c r="J60" s="337">
        <f>表格1[[#This Row],[累計完成]]/表格1[[#This Row],[合計數]]</f>
        <v>0.68390804597701149</v>
      </c>
      <c r="K60" s="334"/>
      <c r="L60" s="311"/>
    </row>
    <row r="61" spans="1:12" ht="15" customHeight="1">
      <c r="A61" s="309">
        <v>44515</v>
      </c>
      <c r="B61" s="314">
        <f>表格1[[#This Row],[日期]]</f>
        <v>44515</v>
      </c>
      <c r="C61" s="315">
        <v>503</v>
      </c>
      <c r="D61" s="310">
        <f>COUNTIF(URS確認!K:K,"&lt;"&amp;A61+1)</f>
        <v>366</v>
      </c>
      <c r="E61" s="310">
        <f>COUNTIF(URS確認!L:L,"&lt;"&amp;A61+1)</f>
        <v>357</v>
      </c>
      <c r="F61" s="310">
        <f>D65-D60</f>
        <v>162</v>
      </c>
      <c r="G61" s="310">
        <f>E61-E60</f>
        <v>0</v>
      </c>
      <c r="H61" s="310" t="str">
        <f>IF(表格1[[#This Row],[本周完成]]&gt;表格1[[#This Row],[本周預計]],"提前",IF(表格1[[#This Row],[本周完成]]&lt;表格1[[#This Row],[本周預計]],"延遲","如期"))</f>
        <v>延遲</v>
      </c>
      <c r="I61" s="316">
        <f>表格1[[#This Row],[累計預估]]/表格1[[#This Row],[合計數]]</f>
        <v>0.72763419483101388</v>
      </c>
      <c r="J61" s="316">
        <f>表格1[[#This Row],[累計完成]]/表格1[[#This Row],[合計數]]</f>
        <v>0.70974155069582501</v>
      </c>
      <c r="K61" s="334"/>
      <c r="L61" s="311"/>
    </row>
    <row r="62" spans="1:12" ht="15" customHeight="1">
      <c r="A62" s="309">
        <v>44516</v>
      </c>
      <c r="B62" s="314">
        <f>表格1[[#This Row],[日期]]</f>
        <v>44516</v>
      </c>
      <c r="C62" s="315">
        <f>COUNTA(URS確認!E:E)-1</f>
        <v>522</v>
      </c>
      <c r="D62" s="310">
        <f>COUNTIF(URS確認!K:K,"&lt;"&amp;A62+1)</f>
        <v>409</v>
      </c>
      <c r="E62" s="310">
        <f>COUNTIF(URS確認!L:L,"&lt;"&amp;A62+1)</f>
        <v>357</v>
      </c>
      <c r="F62" s="310">
        <f>D65-D60</f>
        <v>162</v>
      </c>
      <c r="G62" s="310">
        <f>E62-E60</f>
        <v>0</v>
      </c>
      <c r="H62" s="310" t="str">
        <f>IF(表格1[[#This Row],[本周完成]]&gt;表格1[[#This Row],[本周預計]],"提前",IF(表格1[[#This Row],[本周完成]]&lt;表格1[[#This Row],[本周預計]],"延遲","如期"))</f>
        <v>延遲</v>
      </c>
      <c r="I62" s="316">
        <f>表格1[[#This Row],[累計預估]]/表格1[[#This Row],[合計數]]</f>
        <v>0.78352490421455934</v>
      </c>
      <c r="J62" s="316">
        <f>表格1[[#This Row],[累計完成]]/表格1[[#This Row],[合計數]]</f>
        <v>0.68390804597701149</v>
      </c>
      <c r="K62" s="334"/>
      <c r="L62" s="311"/>
    </row>
    <row r="63" spans="1:12" ht="15" customHeight="1">
      <c r="A63" s="309">
        <v>44517</v>
      </c>
      <c r="B63" s="314">
        <f>表格1[[#This Row],[日期]]</f>
        <v>44517</v>
      </c>
      <c r="C63" s="315">
        <f>COUNTA(URS確認!E:E)-1</f>
        <v>522</v>
      </c>
      <c r="D63" s="310">
        <f>COUNTIF(URS確認!K:K,"&lt;"&amp;A63+1)</f>
        <v>422</v>
      </c>
      <c r="E63" s="310">
        <f>COUNTIF(URS確認!L:L,"&lt;"&amp;A63+1)</f>
        <v>474</v>
      </c>
      <c r="F63" s="310">
        <f>$D65-$D60</f>
        <v>162</v>
      </c>
      <c r="G63" s="310">
        <f>E65-E60</f>
        <v>127</v>
      </c>
      <c r="H63" s="310" t="str">
        <f>IF(表格1[[#This Row],[本周完成]]&gt;表格1[[#This Row],[本周預計]],"提前",IF(表格1[[#This Row],[本周完成]]&lt;表格1[[#This Row],[本周預計]],"延遲","如期"))</f>
        <v>延遲</v>
      </c>
      <c r="I63" s="316">
        <f>表格1[[#This Row],[累計預估]]/表格1[[#This Row],[合計數]]</f>
        <v>0.80842911877394641</v>
      </c>
      <c r="J63" s="316">
        <f>表格1[[#This Row],[累計完成]]/表格1[[#This Row],[合計數]]</f>
        <v>0.90804597701149425</v>
      </c>
      <c r="K63" s="334"/>
      <c r="L63" s="311"/>
    </row>
    <row r="64" spans="1:12" ht="15" customHeight="1">
      <c r="A64" s="309">
        <v>44518</v>
      </c>
      <c r="B64" s="314">
        <f>表格1[[#This Row],[日期]]</f>
        <v>44518</v>
      </c>
      <c r="C64" s="315">
        <f>COUNTA(URS確認!E:E)-1</f>
        <v>522</v>
      </c>
      <c r="D64" s="402">
        <f>COUNTIF(URS確認!K:K,"&lt;"&amp;A64+1)</f>
        <v>460</v>
      </c>
      <c r="E64" s="402">
        <f>COUNTIF(URS確認!L:L,"&lt;"&amp;A64+1)</f>
        <v>484</v>
      </c>
      <c r="F64" s="310">
        <f>$D65-$D60</f>
        <v>162</v>
      </c>
      <c r="G64" s="402">
        <f>表格1[[#This Row],[累計完成]]-E60</f>
        <v>127</v>
      </c>
      <c r="H64" s="310" t="str">
        <f>IF(表格1[[#This Row],[本周完成]]&gt;表格1[[#This Row],[本周預計]],"提前",IF(表格1[[#This Row],[本周完成]]&lt;表格1[[#This Row],[本周預計]],"延遲","如期"))</f>
        <v>延遲</v>
      </c>
      <c r="I64" s="403">
        <f>表格1[[#This Row],[累計預估]]/表格1[[#This Row],[合計數]]</f>
        <v>0.88122605363984674</v>
      </c>
      <c r="J64" s="403">
        <f>表格1[[#This Row],[累計完成]]/表格1[[#This Row],[合計數]]</f>
        <v>0.92720306513409967</v>
      </c>
      <c r="K64" s="404"/>
      <c r="L64" s="311"/>
    </row>
    <row r="65" spans="1:12" ht="15" customHeight="1">
      <c r="A65" s="48">
        <v>44519</v>
      </c>
      <c r="B65" s="335">
        <f>表格1[[#This Row],[日期]]</f>
        <v>44519</v>
      </c>
      <c r="C65" s="336">
        <f>COUNTA(URS確認!E:E)-1</f>
        <v>522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7">
        <f>表格1[[#This Row],[累計預估]]/表格1[[#This Row],[合計數]]</f>
        <v>0.92720306513409967</v>
      </c>
      <c r="J65" s="337">
        <f>表格1[[#This Row],[累計完成]]/表格1[[#This Row],[合計數]]</f>
        <v>0.92720306513409967</v>
      </c>
      <c r="K65" s="334"/>
      <c r="L65" s="311"/>
    </row>
    <row r="66" spans="1:12" ht="15" customHeight="1">
      <c r="A66" s="309">
        <v>44526</v>
      </c>
      <c r="B66" s="314">
        <f>表格1[[#This Row],[日期]]</f>
        <v>44526</v>
      </c>
      <c r="C66" s="315">
        <f>COUNTA(URS確認!E:E)-1</f>
        <v>522</v>
      </c>
      <c r="D66" s="310">
        <f>COUNTIF(URS確認!K:K,"&lt;"&amp;A66+1)</f>
        <v>513</v>
      </c>
      <c r="E66" s="310">
        <f>COUNTIF(URS確認!L:L,"&lt;"&amp;A66+1)</f>
        <v>484</v>
      </c>
      <c r="F66" s="310">
        <f>表格1[[#This Row],[累計預估]]-D65</f>
        <v>29</v>
      </c>
      <c r="G66" s="310">
        <f>表格1[[#This Row],[累計完成]]-E65</f>
        <v>0</v>
      </c>
      <c r="H66" s="310" t="str">
        <f>IF(表格1[[#This Row],[本周完成]]&gt;表格1[[#This Row],[本周預計]],"提前",IF(表格1[[#This Row],[本周完成]]&lt;表格1[[#This Row],[本周預計]],"延遲","如期"))</f>
        <v>延遲</v>
      </c>
      <c r="I66" s="316">
        <f>表格1[[#This Row],[累計預估]]/表格1[[#This Row],[合計數]]</f>
        <v>0.98275862068965514</v>
      </c>
      <c r="J66" s="316">
        <f>表格1[[#This Row],[累計完成]]/表格1[[#This Row],[合計數]]</f>
        <v>0.92720306513409967</v>
      </c>
      <c r="K66" s="334"/>
      <c r="L66" s="311"/>
    </row>
    <row r="67" spans="1:12">
      <c r="K67" s="353"/>
    </row>
    <row r="68" spans="1:12">
      <c r="K68" s="354"/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16"/>
  <sheetViews>
    <sheetView topLeftCell="H4" workbookViewId="0">
      <selection activeCell="W21" sqref="W21"/>
    </sheetView>
  </sheetViews>
  <sheetFormatPr defaultRowHeight="15"/>
  <cols>
    <col min="1" max="1" width="16.625" bestFit="1" customWidth="1"/>
    <col min="2" max="2" width="22.75" bestFit="1" customWidth="1"/>
    <col min="3" max="22" width="18.125" bestFit="1" customWidth="1"/>
    <col min="23" max="25" width="26.25" bestFit="1" customWidth="1"/>
  </cols>
  <sheetData>
    <row r="3" spans="1:25">
      <c r="B3" s="278" t="s">
        <v>92</v>
      </c>
    </row>
    <row r="4" spans="1:25">
      <c r="B4" s="300" t="s">
        <v>93</v>
      </c>
      <c r="E4" s="300" t="s">
        <v>2132</v>
      </c>
      <c r="H4" s="300" t="s">
        <v>2133</v>
      </c>
      <c r="K4" s="300" t="s">
        <v>2134</v>
      </c>
      <c r="N4" s="300" t="s">
        <v>2135</v>
      </c>
      <c r="Q4" s="300" t="s">
        <v>2136</v>
      </c>
      <c r="T4" s="300" t="s">
        <v>2785</v>
      </c>
      <c r="W4" s="300" t="s">
        <v>94</v>
      </c>
      <c r="X4" s="300" t="s">
        <v>95</v>
      </c>
      <c r="Y4" s="300" t="s">
        <v>96</v>
      </c>
    </row>
    <row r="5" spans="1:25">
      <c r="A5" s="278" t="s">
        <v>97</v>
      </c>
      <c r="B5" s="300" t="s">
        <v>98</v>
      </c>
      <c r="C5" s="300" t="s">
        <v>99</v>
      </c>
      <c r="D5" s="300" t="s">
        <v>100</v>
      </c>
      <c r="E5" s="300" t="s">
        <v>98</v>
      </c>
      <c r="F5" s="300" t="s">
        <v>99</v>
      </c>
      <c r="G5" s="300" t="s">
        <v>100</v>
      </c>
      <c r="H5" s="300" t="s">
        <v>98</v>
      </c>
      <c r="I5" s="300" t="s">
        <v>99</v>
      </c>
      <c r="J5" s="300" t="s">
        <v>100</v>
      </c>
      <c r="K5" s="300" t="s">
        <v>98</v>
      </c>
      <c r="L5" s="300" t="s">
        <v>99</v>
      </c>
      <c r="M5" s="300" t="s">
        <v>100</v>
      </c>
      <c r="N5" s="300" t="s">
        <v>98</v>
      </c>
      <c r="O5" s="300" t="s">
        <v>99</v>
      </c>
      <c r="P5" s="300" t="s">
        <v>100</v>
      </c>
      <c r="Q5" s="300" t="s">
        <v>98</v>
      </c>
      <c r="R5" s="300" t="s">
        <v>99</v>
      </c>
      <c r="S5" s="300" t="s">
        <v>100</v>
      </c>
      <c r="T5" s="300" t="s">
        <v>98</v>
      </c>
      <c r="U5" s="300" t="s">
        <v>99</v>
      </c>
      <c r="V5" s="300" t="s">
        <v>100</v>
      </c>
    </row>
    <row r="6" spans="1:25">
      <c r="A6" s="279" t="s">
        <v>101</v>
      </c>
      <c r="B6" s="397"/>
      <c r="C6" s="397"/>
      <c r="D6" s="397"/>
      <c r="E6" s="397">
        <v>13</v>
      </c>
      <c r="F6" s="397">
        <v>13</v>
      </c>
      <c r="G6" s="397">
        <v>13</v>
      </c>
      <c r="H6" s="397"/>
      <c r="I6" s="397"/>
      <c r="J6" s="397"/>
      <c r="K6" s="397">
        <v>3</v>
      </c>
      <c r="L6" s="397">
        <v>3</v>
      </c>
      <c r="M6" s="397">
        <v>3</v>
      </c>
      <c r="N6" s="397"/>
      <c r="O6" s="397"/>
      <c r="P6" s="397"/>
      <c r="Q6" s="397"/>
      <c r="R6" s="397"/>
      <c r="S6" s="397"/>
      <c r="T6" s="397"/>
      <c r="U6" s="397"/>
      <c r="V6" s="397"/>
      <c r="W6" s="397">
        <v>16</v>
      </c>
      <c r="X6" s="397">
        <v>16</v>
      </c>
      <c r="Y6" s="397">
        <v>16</v>
      </c>
    </row>
    <row r="7" spans="1:25">
      <c r="A7" s="279" t="s">
        <v>102</v>
      </c>
      <c r="B7" s="397"/>
      <c r="C7" s="397"/>
      <c r="D7" s="397"/>
      <c r="E7" s="397">
        <v>17</v>
      </c>
      <c r="F7" s="397">
        <v>17</v>
      </c>
      <c r="G7" s="397">
        <v>11</v>
      </c>
      <c r="H7" s="397">
        <v>27</v>
      </c>
      <c r="I7" s="397">
        <v>27</v>
      </c>
      <c r="J7" s="397">
        <v>18</v>
      </c>
      <c r="K7" s="397">
        <v>7</v>
      </c>
      <c r="L7" s="397">
        <v>7</v>
      </c>
      <c r="M7" s="397">
        <v>5</v>
      </c>
      <c r="N7" s="397">
        <v>29</v>
      </c>
      <c r="O7" s="397">
        <v>29</v>
      </c>
      <c r="P7" s="397">
        <v>21</v>
      </c>
      <c r="Q7" s="397"/>
      <c r="R7" s="397"/>
      <c r="S7" s="397"/>
      <c r="T7" s="397"/>
      <c r="U7" s="397"/>
      <c r="V7" s="397"/>
      <c r="W7" s="397">
        <v>80</v>
      </c>
      <c r="X7" s="397">
        <v>80</v>
      </c>
      <c r="Y7" s="397">
        <v>55</v>
      </c>
    </row>
    <row r="8" spans="1:25">
      <c r="A8" s="279" t="s">
        <v>103</v>
      </c>
      <c r="B8" s="397"/>
      <c r="C8" s="397"/>
      <c r="D8" s="397"/>
      <c r="E8" s="397"/>
      <c r="F8" s="397"/>
      <c r="G8" s="397"/>
      <c r="H8" s="397">
        <v>4</v>
      </c>
      <c r="I8" s="397">
        <v>4</v>
      </c>
      <c r="J8" s="397">
        <v>4</v>
      </c>
      <c r="K8" s="397">
        <v>14</v>
      </c>
      <c r="L8" s="397">
        <v>14</v>
      </c>
      <c r="M8" s="397">
        <v>14</v>
      </c>
      <c r="N8" s="397">
        <v>18</v>
      </c>
      <c r="O8" s="397">
        <v>18</v>
      </c>
      <c r="P8" s="397">
        <v>18</v>
      </c>
      <c r="Q8" s="397"/>
      <c r="R8" s="397"/>
      <c r="S8" s="397"/>
      <c r="T8" s="397"/>
      <c r="U8" s="397"/>
      <c r="V8" s="397"/>
      <c r="W8" s="397">
        <v>36</v>
      </c>
      <c r="X8" s="397">
        <v>36</v>
      </c>
      <c r="Y8" s="397">
        <v>36</v>
      </c>
    </row>
    <row r="9" spans="1:25">
      <c r="A9" s="279" t="s">
        <v>104</v>
      </c>
      <c r="B9" s="397"/>
      <c r="C9" s="397"/>
      <c r="D9" s="397"/>
      <c r="E9" s="397"/>
      <c r="F9" s="397"/>
      <c r="G9" s="397"/>
      <c r="H9" s="397">
        <v>3</v>
      </c>
      <c r="I9" s="397">
        <v>3</v>
      </c>
      <c r="J9" s="397"/>
      <c r="K9" s="397">
        <v>44</v>
      </c>
      <c r="L9" s="397">
        <v>44</v>
      </c>
      <c r="M9" s="397">
        <v>10</v>
      </c>
      <c r="N9" s="397">
        <v>24</v>
      </c>
      <c r="O9" s="397">
        <v>24</v>
      </c>
      <c r="P9" s="397"/>
      <c r="Q9" s="397"/>
      <c r="R9" s="397"/>
      <c r="S9" s="397"/>
      <c r="T9" s="397"/>
      <c r="U9" s="397"/>
      <c r="V9" s="397"/>
      <c r="W9" s="397">
        <v>71</v>
      </c>
      <c r="X9" s="397">
        <v>71</v>
      </c>
      <c r="Y9" s="397">
        <v>10</v>
      </c>
    </row>
    <row r="10" spans="1:25">
      <c r="A10" s="279" t="s">
        <v>105</v>
      </c>
      <c r="B10" s="397"/>
      <c r="C10" s="397"/>
      <c r="D10" s="397"/>
      <c r="E10" s="397">
        <v>10</v>
      </c>
      <c r="F10" s="397">
        <v>10</v>
      </c>
      <c r="G10" s="397"/>
      <c r="H10" s="397"/>
      <c r="I10" s="397"/>
      <c r="J10" s="397"/>
      <c r="K10" s="397">
        <v>26</v>
      </c>
      <c r="L10" s="397">
        <v>26</v>
      </c>
      <c r="M10" s="397">
        <v>26</v>
      </c>
      <c r="N10" s="397">
        <v>15</v>
      </c>
      <c r="O10" s="397">
        <v>15</v>
      </c>
      <c r="P10" s="397"/>
      <c r="Q10" s="397">
        <v>37</v>
      </c>
      <c r="R10" s="397">
        <v>31</v>
      </c>
      <c r="S10" s="397"/>
      <c r="T10" s="397"/>
      <c r="U10" s="397"/>
      <c r="V10" s="397"/>
      <c r="W10" s="397">
        <v>88</v>
      </c>
      <c r="X10" s="397">
        <v>82</v>
      </c>
      <c r="Y10" s="397">
        <v>26</v>
      </c>
    </row>
    <row r="11" spans="1:25">
      <c r="A11" s="279" t="s">
        <v>106</v>
      </c>
      <c r="B11" s="397"/>
      <c r="C11" s="397"/>
      <c r="D11" s="397"/>
      <c r="E11" s="397">
        <v>17</v>
      </c>
      <c r="F11" s="397">
        <v>17</v>
      </c>
      <c r="G11" s="397"/>
      <c r="H11" s="397">
        <v>1</v>
      </c>
      <c r="I11" s="397">
        <v>1</v>
      </c>
      <c r="J11" s="397"/>
      <c r="K11" s="397">
        <v>2</v>
      </c>
      <c r="L11" s="397">
        <v>2</v>
      </c>
      <c r="M11" s="397"/>
      <c r="N11" s="397">
        <v>18</v>
      </c>
      <c r="O11" s="397">
        <v>18</v>
      </c>
      <c r="P11" s="397"/>
      <c r="Q11" s="397">
        <v>49</v>
      </c>
      <c r="R11" s="397">
        <v>35</v>
      </c>
      <c r="S11" s="397"/>
      <c r="T11" s="397"/>
      <c r="U11" s="397"/>
      <c r="V11" s="397"/>
      <c r="W11" s="397">
        <v>87</v>
      </c>
      <c r="X11" s="397">
        <v>73</v>
      </c>
      <c r="Y11" s="397"/>
    </row>
    <row r="12" spans="1:25">
      <c r="A12" s="279" t="s">
        <v>2783</v>
      </c>
      <c r="B12" s="397"/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>
        <v>10</v>
      </c>
      <c r="U12" s="397"/>
      <c r="V12" s="397"/>
      <c r="W12" s="397">
        <v>10</v>
      </c>
      <c r="X12" s="397"/>
      <c r="Y12" s="397"/>
    </row>
    <row r="13" spans="1:25">
      <c r="A13" s="279" t="s">
        <v>107</v>
      </c>
      <c r="B13" s="397"/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>
        <v>8</v>
      </c>
      <c r="O13" s="397">
        <v>8</v>
      </c>
      <c r="P13" s="397"/>
      <c r="Q13" s="397">
        <v>121</v>
      </c>
      <c r="R13" s="397">
        <v>115</v>
      </c>
      <c r="S13" s="397"/>
      <c r="T13" s="397">
        <v>2</v>
      </c>
      <c r="U13" s="397"/>
      <c r="V13" s="397"/>
      <c r="W13" s="397">
        <v>131</v>
      </c>
      <c r="X13" s="397">
        <v>123</v>
      </c>
      <c r="Y13" s="397"/>
    </row>
    <row r="14" spans="1:25">
      <c r="A14" s="279" t="s">
        <v>108</v>
      </c>
      <c r="B14" s="397"/>
      <c r="C14" s="397"/>
      <c r="D14" s="397"/>
      <c r="E14" s="397"/>
      <c r="F14" s="397"/>
      <c r="G14" s="397"/>
      <c r="H14" s="397">
        <v>1</v>
      </c>
      <c r="I14" s="397">
        <v>1</v>
      </c>
      <c r="J14" s="397"/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>
        <v>1</v>
      </c>
      <c r="X14" s="397">
        <v>1</v>
      </c>
      <c r="Y14" s="397"/>
    </row>
    <row r="15" spans="1:25">
      <c r="A15" s="279" t="s">
        <v>109</v>
      </c>
      <c r="B15" s="397"/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  <c r="O15" s="397"/>
      <c r="P15" s="397"/>
      <c r="Q15" s="397"/>
      <c r="R15" s="397"/>
      <c r="S15" s="397"/>
      <c r="T15" s="397"/>
      <c r="U15" s="397"/>
      <c r="V15" s="397"/>
      <c r="W15" s="397"/>
      <c r="X15" s="397"/>
      <c r="Y15" s="397"/>
    </row>
    <row r="16" spans="1:25">
      <c r="A16" s="279" t="s">
        <v>67</v>
      </c>
      <c r="B16" s="397"/>
      <c r="C16" s="397"/>
      <c r="D16" s="397"/>
      <c r="E16" s="397">
        <v>57</v>
      </c>
      <c r="F16" s="397">
        <v>57</v>
      </c>
      <c r="G16" s="397">
        <v>24</v>
      </c>
      <c r="H16" s="397">
        <v>36</v>
      </c>
      <c r="I16" s="397">
        <v>36</v>
      </c>
      <c r="J16" s="397">
        <v>22</v>
      </c>
      <c r="K16" s="397">
        <v>96</v>
      </c>
      <c r="L16" s="397">
        <v>96</v>
      </c>
      <c r="M16" s="397">
        <v>58</v>
      </c>
      <c r="N16" s="397">
        <v>112</v>
      </c>
      <c r="O16" s="397">
        <v>112</v>
      </c>
      <c r="P16" s="397">
        <v>39</v>
      </c>
      <c r="Q16" s="397">
        <v>207</v>
      </c>
      <c r="R16" s="397">
        <v>181</v>
      </c>
      <c r="S16" s="397"/>
      <c r="T16" s="397">
        <v>12</v>
      </c>
      <c r="U16" s="397"/>
      <c r="V16" s="397"/>
      <c r="W16" s="397">
        <v>520</v>
      </c>
      <c r="X16" s="397">
        <v>482</v>
      </c>
      <c r="Y16" s="397">
        <v>143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24"/>
  <sheetViews>
    <sheetView tabSelected="1" zoomScaleNormal="100" workbookViewId="0">
      <pane xSplit="6" ySplit="1" topLeftCell="G314" activePane="bottomRight" state="frozen"/>
      <selection pane="topRight" activeCell="H1" sqref="H1"/>
      <selection pane="bottomLeft" activeCell="A2" sqref="A2"/>
      <selection pane="bottomRight" activeCell="I327" sqref="I327"/>
    </sheetView>
  </sheetViews>
  <sheetFormatPr defaultColWidth="8.75" defaultRowHeight="15"/>
  <cols>
    <col min="1" max="1" width="2.625" style="307" customWidth="1"/>
    <col min="2" max="2" width="3.875" style="307" customWidth="1"/>
    <col min="3" max="3" width="15.875" style="308" customWidth="1"/>
    <col min="4" max="4" width="14.75" style="224" customWidth="1"/>
    <col min="5" max="5" width="9.25" style="307" customWidth="1"/>
    <col min="6" max="6" width="32.5" style="412" customWidth="1"/>
    <col min="7" max="7" width="19.875" style="412" customWidth="1"/>
    <col min="8" max="8" width="9" style="307" customWidth="1"/>
    <col min="9" max="9" width="11.375" style="412" customWidth="1"/>
    <col min="10" max="10" width="10" style="413" customWidth="1"/>
    <col min="11" max="11" width="11.875" style="308" customWidth="1"/>
    <col min="12" max="12" width="11.875" style="414" customWidth="1"/>
    <col min="13" max="13" width="12.375" style="307" customWidth="1"/>
    <col min="14" max="14" width="14.125" style="307" customWidth="1"/>
    <col min="15" max="15" width="11.375" style="307" customWidth="1"/>
    <col min="16" max="16" width="15.625" style="277" customWidth="1"/>
    <col min="17" max="17" width="9.375" style="308" hidden="1" customWidth="1"/>
    <col min="18" max="18" width="5.375" style="308" hidden="1" customWidth="1"/>
    <col min="19" max="19" width="9.375" style="308" hidden="1" customWidth="1"/>
    <col min="20" max="20" width="5.375" style="414" hidden="1" customWidth="1"/>
    <col min="21" max="21" width="5.375" style="308" hidden="1" customWidth="1"/>
    <col min="22" max="23" width="5.375" style="307" hidden="1" customWidth="1"/>
    <col min="24" max="24" width="16.125" style="307" customWidth="1"/>
    <col min="25" max="25" width="12.875" style="307" hidden="1" customWidth="1"/>
    <col min="26" max="26" width="12.875" style="308" customWidth="1"/>
    <col min="27" max="28" width="12.375" style="307" customWidth="1"/>
    <col min="29" max="29" width="13.125" style="307" customWidth="1"/>
    <col min="30" max="30" width="15.875" style="307" bestFit="1" customWidth="1"/>
    <col min="31" max="31" width="18.125" style="355" customWidth="1"/>
    <col min="32" max="32" width="11.75" style="225" customWidth="1"/>
    <col min="33" max="33" width="9.375" style="307" customWidth="1"/>
    <col min="34" max="35" width="11.375" style="412" customWidth="1"/>
    <col min="36" max="36" width="8.75" style="412" customWidth="1"/>
    <col min="37" max="37" width="14.375" style="228" customWidth="1"/>
    <col min="38" max="38" width="14.25" style="308" customWidth="1"/>
    <col min="39" max="39" width="33.375" style="307" bestFit="1" customWidth="1"/>
    <col min="40" max="41" width="8.75" style="307" customWidth="1"/>
    <col min="42" max="16384" width="8.75" style="307"/>
  </cols>
  <sheetData>
    <row r="1" spans="1:40" ht="29.25" customHeight="1" thickBot="1">
      <c r="A1" s="296" t="s">
        <v>110</v>
      </c>
      <c r="B1" s="221" t="s">
        <v>111</v>
      </c>
      <c r="C1" s="221" t="s">
        <v>30</v>
      </c>
      <c r="D1" s="294" t="s">
        <v>112</v>
      </c>
      <c r="E1" s="271" t="s">
        <v>113</v>
      </c>
      <c r="F1" s="271" t="s">
        <v>114</v>
      </c>
      <c r="G1" s="271" t="s">
        <v>2842</v>
      </c>
      <c r="H1" s="271" t="s">
        <v>115</v>
      </c>
      <c r="I1" s="272" t="s">
        <v>116</v>
      </c>
      <c r="J1" s="268" t="s">
        <v>2841</v>
      </c>
      <c r="K1" s="226" t="s">
        <v>117</v>
      </c>
      <c r="L1" s="226" t="s">
        <v>118</v>
      </c>
      <c r="M1" s="226" t="s">
        <v>119</v>
      </c>
      <c r="N1" s="273" t="s">
        <v>54</v>
      </c>
      <c r="O1" s="273" t="s">
        <v>55</v>
      </c>
      <c r="P1" s="276" t="s">
        <v>120</v>
      </c>
      <c r="Q1" s="308" t="s">
        <v>121</v>
      </c>
      <c r="R1" s="308" t="s">
        <v>122</v>
      </c>
      <c r="S1" s="308" t="s">
        <v>123</v>
      </c>
      <c r="T1" s="308" t="s">
        <v>124</v>
      </c>
      <c r="U1" s="308" t="s">
        <v>125</v>
      </c>
      <c r="V1" s="308" t="s">
        <v>126</v>
      </c>
      <c r="W1" s="308" t="s">
        <v>127</v>
      </c>
      <c r="X1" s="307" t="s">
        <v>128</v>
      </c>
      <c r="Y1" s="222" t="s">
        <v>129</v>
      </c>
      <c r="Z1" s="416" t="s">
        <v>130</v>
      </c>
      <c r="AA1" s="407" t="s">
        <v>131</v>
      </c>
      <c r="AB1" s="407" t="s">
        <v>132</v>
      </c>
      <c r="AC1" s="223" t="s">
        <v>133</v>
      </c>
      <c r="AD1" s="226" t="s">
        <v>134</v>
      </c>
      <c r="AE1" s="356" t="s">
        <v>135</v>
      </c>
      <c r="AF1" s="223" t="s">
        <v>136</v>
      </c>
      <c r="AG1" s="223" t="s">
        <v>137</v>
      </c>
      <c r="AH1" s="223" t="s">
        <v>138</v>
      </c>
      <c r="AI1" s="223" t="s">
        <v>139</v>
      </c>
      <c r="AJ1" s="222" t="s">
        <v>140</v>
      </c>
      <c r="AK1" s="226" t="s">
        <v>141</v>
      </c>
      <c r="AL1" s="273" t="s">
        <v>142</v>
      </c>
      <c r="AM1" s="270" t="s">
        <v>143</v>
      </c>
      <c r="AN1" s="293" t="s">
        <v>2808</v>
      </c>
    </row>
    <row r="2" spans="1:40" hidden="1">
      <c r="A2" s="224">
        <v>1</v>
      </c>
      <c r="B2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07" t="s">
        <v>101</v>
      </c>
      <c r="D2" s="307" t="s">
        <v>144</v>
      </c>
      <c r="E2" s="308" t="s">
        <v>145</v>
      </c>
      <c r="F2" s="307" t="s">
        <v>146</v>
      </c>
      <c r="G2" s="307"/>
      <c r="H2" s="308" t="s">
        <v>147</v>
      </c>
      <c r="I2" s="308" t="s">
        <v>148</v>
      </c>
      <c r="J2" s="229" t="s">
        <v>2763</v>
      </c>
      <c r="K2" s="226">
        <v>44399</v>
      </c>
      <c r="L2" s="226">
        <v>44399</v>
      </c>
      <c r="M2" s="226">
        <f>IFERROR(IF(VLOOKUP(功能_33[[#This Row],[功能代號]],討論項目!A:H,8,FALSE)=0,"",VLOOKUP(功能_33[[#This Row],[功能代號]],討論項目!A:H,8,FALSE)),"")</f>
        <v>44399</v>
      </c>
      <c r="N2" s="308" t="s">
        <v>10</v>
      </c>
      <c r="O2" s="308" t="s">
        <v>13</v>
      </c>
      <c r="T2" s="308"/>
      <c r="V2" s="308"/>
      <c r="W2" s="308"/>
      <c r="X2" s="307" t="str">
        <f>VLOOKUP(功能_33[[#This Row],[User]],SKL放款!A:G,7,FALSE)</f>
        <v>放款推展課</v>
      </c>
      <c r="Y2" s="228">
        <f>IF(功能_33[[#This Row],[實際展示]]="","",功能_33[[#This Row],[實際展示]]+14)</f>
        <v>44413</v>
      </c>
      <c r="Z2" s="226">
        <v>44463</v>
      </c>
      <c r="AA2" s="226">
        <v>44461</v>
      </c>
      <c r="AB2" s="226">
        <v>44461</v>
      </c>
      <c r="AC2" s="226">
        <v>44470</v>
      </c>
      <c r="AD2" s="258" t="s">
        <v>8</v>
      </c>
      <c r="AE2" s="355">
        <v>44483.717361111107</v>
      </c>
      <c r="AF2" s="225">
        <v>44487.745833333327</v>
      </c>
      <c r="AG2" s="226" t="str">
        <f>IFERROR(IF(VLOOKUP(功能_33[[#This Row],[功能代號]],E:Q,11,FALSE)=0,"",VLOOKUP(功能_33[[#This Row],[功能代號]],E:Q,11,FALSE)),"")</f>
        <v>李珮君</v>
      </c>
      <c r="AH2" s="226"/>
      <c r="AI2" s="226"/>
      <c r="AJ2" s="307"/>
      <c r="AK2" s="226">
        <v>44403</v>
      </c>
      <c r="AL2" s="308">
        <v>1</v>
      </c>
      <c r="AM2" s="307" t="s">
        <v>149</v>
      </c>
      <c r="AN2" s="307" t="str">
        <f>VLOOKUP(功能_33[[#This Row],[功能代號]],工作表2!B:B,1,FALSE)</f>
        <v>L1001</v>
      </c>
    </row>
    <row r="3" spans="1:40" hidden="1">
      <c r="A3" s="224">
        <v>2</v>
      </c>
      <c r="B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07" t="s">
        <v>101</v>
      </c>
      <c r="D3" s="307" t="s">
        <v>144</v>
      </c>
      <c r="E3" s="308" t="s">
        <v>150</v>
      </c>
      <c r="F3" s="307" t="s">
        <v>151</v>
      </c>
      <c r="G3" s="307"/>
      <c r="H3" s="308" t="s">
        <v>147</v>
      </c>
      <c r="I3" s="308" t="s">
        <v>148</v>
      </c>
      <c r="J3" s="229" t="s">
        <v>2763</v>
      </c>
      <c r="K3" s="226">
        <v>44399</v>
      </c>
      <c r="L3" s="226">
        <v>44399</v>
      </c>
      <c r="M3" s="226">
        <f>IFERROR(IF(VLOOKUP(功能_33[[#This Row],[功能代號]],討論項目!A:H,8,FALSE)=0,"",VLOOKUP(功能_33[[#This Row],[功能代號]],討論項目!A:H,8,FALSE)),"")</f>
        <v>44456</v>
      </c>
      <c r="N3" s="308" t="s">
        <v>10</v>
      </c>
      <c r="O3" s="308" t="s">
        <v>13</v>
      </c>
      <c r="T3" s="308"/>
      <c r="V3" s="308"/>
      <c r="W3" s="308"/>
      <c r="X3" s="307" t="str">
        <f>VLOOKUP(功能_33[[#This Row],[User]],SKL放款!A:G,7,FALSE)</f>
        <v>放款推展課</v>
      </c>
      <c r="Y3" s="228">
        <f>IF(功能_33[[#This Row],[實際展示]]="","",功能_33[[#This Row],[實際展示]]+14)</f>
        <v>44413</v>
      </c>
      <c r="Z3" s="226">
        <v>44463</v>
      </c>
      <c r="AA3" s="226">
        <v>44461</v>
      </c>
      <c r="AB3" s="226">
        <v>44461</v>
      </c>
      <c r="AC3" s="226">
        <v>44470</v>
      </c>
      <c r="AD3" s="258" t="s">
        <v>12</v>
      </c>
      <c r="AE3" s="355">
        <v>44482.39166666667</v>
      </c>
      <c r="AF3" s="225">
        <v>44487.745833333327</v>
      </c>
      <c r="AG3" s="226" t="str">
        <f>IFERROR(IF(VLOOKUP(功能_33[[#This Row],[功能代號]],E:Q,11,FALSE)=0,"",VLOOKUP(功能_33[[#This Row],[功能代號]],E:Q,11,FALSE)),"")</f>
        <v>李珮君</v>
      </c>
      <c r="AH3" s="226"/>
      <c r="AI3" s="226"/>
      <c r="AJ3" s="307"/>
      <c r="AK3" s="226">
        <v>44403</v>
      </c>
      <c r="AL3" s="308" t="s">
        <v>152</v>
      </c>
      <c r="AM3" s="307" t="s">
        <v>153</v>
      </c>
      <c r="AN3" s="307" t="str">
        <f>VLOOKUP(功能_33[[#This Row],[功能代號]],工作表2!B:B,1,FALSE)</f>
        <v>L1101</v>
      </c>
    </row>
    <row r="4" spans="1:40" hidden="1">
      <c r="A4" s="224">
        <v>3</v>
      </c>
      <c r="B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07" t="s">
        <v>101</v>
      </c>
      <c r="D4" s="307" t="s">
        <v>144</v>
      </c>
      <c r="E4" s="308" t="s">
        <v>154</v>
      </c>
      <c r="F4" s="307" t="s">
        <v>155</v>
      </c>
      <c r="G4" s="307"/>
      <c r="H4" s="308" t="s">
        <v>147</v>
      </c>
      <c r="I4" s="308" t="s">
        <v>148</v>
      </c>
      <c r="J4" s="229" t="s">
        <v>2763</v>
      </c>
      <c r="K4" s="226">
        <v>44403</v>
      </c>
      <c r="L4" s="226">
        <v>44403</v>
      </c>
      <c r="M4" s="226">
        <f>IFERROR(IF(VLOOKUP(功能_33[[#This Row],[功能代號]],討論項目!A:H,8,FALSE)=0,"",VLOOKUP(功能_33[[#This Row],[功能代號]],討論項目!A:H,8,FALSE)),"")</f>
        <v>44460</v>
      </c>
      <c r="N4" s="308" t="s">
        <v>10</v>
      </c>
      <c r="O4" s="308" t="s">
        <v>15</v>
      </c>
      <c r="T4" s="308"/>
      <c r="V4" s="308"/>
      <c r="W4" s="308"/>
      <c r="X4" s="307" t="str">
        <f>VLOOKUP(功能_33[[#This Row],[User]],SKL放款!A:G,7,FALSE)</f>
        <v>放款推展課</v>
      </c>
      <c r="Y4" s="228">
        <f>IF(功能_33[[#This Row],[實際展示]]="","",功能_33[[#This Row],[實際展示]]+14)</f>
        <v>44417</v>
      </c>
      <c r="Z4" s="226">
        <v>44463</v>
      </c>
      <c r="AA4" s="226">
        <v>44461</v>
      </c>
      <c r="AB4" s="226">
        <v>44461</v>
      </c>
      <c r="AC4" s="226">
        <v>44470</v>
      </c>
      <c r="AD4" s="258" t="s">
        <v>7</v>
      </c>
      <c r="AE4" s="355" t="s">
        <v>156</v>
      </c>
      <c r="AF4" s="225">
        <v>44487.745833333327</v>
      </c>
      <c r="AG4" s="226" t="str">
        <f>IFERROR(IF(VLOOKUP(功能_33[[#This Row],[功能代號]],E:Q,11,FALSE)=0,"",VLOOKUP(功能_33[[#This Row],[功能代號]],E:Q,11,FALSE)),"")</f>
        <v>陳俞辛</v>
      </c>
      <c r="AH4" s="226"/>
      <c r="AI4" s="226"/>
      <c r="AJ4" s="307"/>
      <c r="AK4" s="307"/>
      <c r="AL4" s="308" t="s">
        <v>152</v>
      </c>
      <c r="AM4" s="307" t="s">
        <v>153</v>
      </c>
      <c r="AN4" s="307" t="str">
        <f>VLOOKUP(功能_33[[#This Row],[功能代號]],工作表2!B:B,1,FALSE)</f>
        <v>L1102</v>
      </c>
    </row>
    <row r="5" spans="1:40" hidden="1">
      <c r="A5" s="224">
        <v>4</v>
      </c>
      <c r="B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07" t="s">
        <v>101</v>
      </c>
      <c r="D5" s="307" t="s">
        <v>144</v>
      </c>
      <c r="E5" s="308" t="s">
        <v>157</v>
      </c>
      <c r="F5" s="307" t="s">
        <v>158</v>
      </c>
      <c r="G5" s="307"/>
      <c r="H5" s="308" t="s">
        <v>147</v>
      </c>
      <c r="I5" s="308" t="s">
        <v>148</v>
      </c>
      <c r="J5" s="229" t="s">
        <v>2763</v>
      </c>
      <c r="K5" s="226">
        <v>44399</v>
      </c>
      <c r="L5" s="226">
        <v>44399</v>
      </c>
      <c r="M5" s="226">
        <f>IFERROR(IF(VLOOKUP(功能_33[[#This Row],[功能代號]],討論項目!A:H,8,FALSE)=0,"",VLOOKUP(功能_33[[#This Row],[功能代號]],討論項目!A:H,8,FALSE)),"")</f>
        <v>44469</v>
      </c>
      <c r="N5" s="308" t="s">
        <v>10</v>
      </c>
      <c r="O5" s="308" t="s">
        <v>13</v>
      </c>
      <c r="T5" s="308"/>
      <c r="V5" s="308"/>
      <c r="W5" s="308"/>
      <c r="X5" s="307" t="str">
        <f>VLOOKUP(功能_33[[#This Row],[User]],SKL放款!A:G,7,FALSE)</f>
        <v>放款推展課</v>
      </c>
      <c r="Y5" s="228">
        <f>IF(功能_33[[#This Row],[實際展示]]="","",功能_33[[#This Row],[實際展示]]+14)</f>
        <v>44413</v>
      </c>
      <c r="Z5" s="226">
        <v>44463</v>
      </c>
      <c r="AA5" s="226">
        <v>44461</v>
      </c>
      <c r="AB5" s="226">
        <v>44461</v>
      </c>
      <c r="AC5" s="226">
        <v>44470</v>
      </c>
      <c r="AD5" s="258" t="s">
        <v>12</v>
      </c>
      <c r="AE5" s="355">
        <v>44482.39166666667</v>
      </c>
      <c r="AF5" s="225">
        <v>44487.745833333327</v>
      </c>
      <c r="AG5" s="226" t="str">
        <f>IFERROR(IF(VLOOKUP(功能_33[[#This Row],[功能代號]],E:Q,11,FALSE)=0,"",VLOOKUP(功能_33[[#This Row],[功能代號]],E:Q,11,FALSE)),"")</f>
        <v>李珮君</v>
      </c>
      <c r="AH5" s="226"/>
      <c r="AI5" s="226"/>
      <c r="AJ5" s="307"/>
      <c r="AK5" s="307"/>
      <c r="AL5" s="308" t="s">
        <v>159</v>
      </c>
      <c r="AM5" s="307" t="s">
        <v>160</v>
      </c>
      <c r="AN5" s="307" t="str">
        <f>VLOOKUP(功能_33[[#This Row],[功能代號]],工作表2!B:B,1,FALSE)</f>
        <v>L1103</v>
      </c>
    </row>
    <row r="6" spans="1:40" hidden="1">
      <c r="A6" s="224">
        <v>5</v>
      </c>
      <c r="B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07" t="s">
        <v>101</v>
      </c>
      <c r="D6" s="307" t="s">
        <v>144</v>
      </c>
      <c r="E6" s="308" t="s">
        <v>161</v>
      </c>
      <c r="F6" s="307" t="s">
        <v>162</v>
      </c>
      <c r="G6" s="307"/>
      <c r="H6" s="308" t="s">
        <v>147</v>
      </c>
      <c r="I6" s="308" t="s">
        <v>148</v>
      </c>
      <c r="J6" s="229" t="s">
        <v>2763</v>
      </c>
      <c r="K6" s="226">
        <v>44403</v>
      </c>
      <c r="L6" s="226">
        <v>44403</v>
      </c>
      <c r="M6" s="226">
        <f>IFERROR(IF(VLOOKUP(功能_33[[#This Row],[功能代號]],討論項目!A:H,8,FALSE)=0,"",VLOOKUP(功能_33[[#This Row],[功能代號]],討論項目!A:H,8,FALSE)),"")</f>
        <v>44456</v>
      </c>
      <c r="N6" s="308" t="s">
        <v>10</v>
      </c>
      <c r="O6" s="308" t="s">
        <v>15</v>
      </c>
      <c r="T6" s="308"/>
      <c r="V6" s="308"/>
      <c r="W6" s="308"/>
      <c r="X6" s="307" t="str">
        <f>VLOOKUP(功能_33[[#This Row],[User]],SKL放款!A:G,7,FALSE)</f>
        <v>放款推展課</v>
      </c>
      <c r="Y6" s="228">
        <f>IF(功能_33[[#This Row],[實際展示]]="","",功能_33[[#This Row],[實際展示]]+14)</f>
        <v>44417</v>
      </c>
      <c r="Z6" s="226">
        <v>44463</v>
      </c>
      <c r="AA6" s="226">
        <v>44461</v>
      </c>
      <c r="AB6" s="226">
        <v>44461</v>
      </c>
      <c r="AC6" s="226">
        <v>44470</v>
      </c>
      <c r="AD6" s="258" t="s">
        <v>12</v>
      </c>
      <c r="AE6" s="355">
        <v>44482.39166666667</v>
      </c>
      <c r="AF6" s="225">
        <v>44487.745833333327</v>
      </c>
      <c r="AG6" s="226" t="str">
        <f>IFERROR(IF(VLOOKUP(功能_33[[#This Row],[功能代號]],E:Q,11,FALSE)=0,"",VLOOKUP(功能_33[[#This Row],[功能代號]],E:Q,11,FALSE)),"")</f>
        <v>陳俞辛</v>
      </c>
      <c r="AH6" s="226"/>
      <c r="AI6" s="226"/>
      <c r="AJ6" s="307"/>
      <c r="AK6" s="307"/>
      <c r="AL6" s="308" t="s">
        <v>159</v>
      </c>
      <c r="AM6" s="307" t="s">
        <v>160</v>
      </c>
      <c r="AN6" s="307" t="str">
        <f>VLOOKUP(功能_33[[#This Row],[功能代號]],工作表2!B:B,1,FALSE)</f>
        <v>L1104</v>
      </c>
    </row>
    <row r="7" spans="1:40" hidden="1">
      <c r="A7" s="224"/>
      <c r="B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07" t="s">
        <v>101</v>
      </c>
      <c r="D7" s="307" t="s">
        <v>144</v>
      </c>
      <c r="E7" s="308" t="s">
        <v>163</v>
      </c>
      <c r="F7" s="307" t="s">
        <v>164</v>
      </c>
      <c r="G7" s="307"/>
      <c r="H7" s="308" t="s">
        <v>147</v>
      </c>
      <c r="I7" s="308" t="s">
        <v>148</v>
      </c>
      <c r="J7" s="229" t="s">
        <v>2763</v>
      </c>
      <c r="K7" s="226">
        <v>44461</v>
      </c>
      <c r="L7" s="226">
        <v>44461</v>
      </c>
      <c r="M7" s="226">
        <v>44469</v>
      </c>
      <c r="N7" s="308" t="s">
        <v>10</v>
      </c>
      <c r="O7" s="308" t="s">
        <v>2766</v>
      </c>
      <c r="T7" s="308"/>
      <c r="V7" s="308"/>
      <c r="W7" s="308"/>
      <c r="X7" s="307" t="str">
        <f>VLOOKUP(功能_33[[#This Row],[User]],SKL放款!A:G,7,FALSE)</f>
        <v>放款服務課</v>
      </c>
      <c r="Y7" s="228">
        <f>IF(功能_33[[#This Row],[實際展示]]="","",功能_33[[#This Row],[實際展示]]+14)</f>
        <v>44475</v>
      </c>
      <c r="Z7" s="226">
        <v>44463</v>
      </c>
      <c r="AA7" s="226">
        <v>44461</v>
      </c>
      <c r="AB7" s="226">
        <v>44461</v>
      </c>
      <c r="AC7" s="226">
        <v>44515</v>
      </c>
      <c r="AD7" s="258" t="s">
        <v>10</v>
      </c>
      <c r="AE7" s="355">
        <v>44483.717361111107</v>
      </c>
      <c r="AF7" s="225">
        <v>44487.745833333327</v>
      </c>
      <c r="AG7" s="226" t="str">
        <f>IFERROR(IF(VLOOKUP(功能_33[[#This Row],[功能代號]],E:Q,11,FALSE)=0,"",VLOOKUP(功能_33[[#This Row],[功能代號]],E:Q,11,FALSE)),"")</f>
        <v>蔡珮瑜</v>
      </c>
      <c r="AH7" s="226"/>
      <c r="AI7" s="226"/>
      <c r="AJ7" s="307"/>
      <c r="AK7" s="307"/>
      <c r="AL7" s="308" t="s">
        <v>2765</v>
      </c>
      <c r="AM7" s="307" t="s">
        <v>2764</v>
      </c>
      <c r="AN7" s="307" t="e">
        <f>VLOOKUP(功能_33[[#This Row],[功能代號]],工作表2!B:B,1,FALSE)</f>
        <v>#N/A</v>
      </c>
    </row>
    <row r="8" spans="1:40" hidden="1">
      <c r="A8" s="224"/>
      <c r="B8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07" t="s">
        <v>101</v>
      </c>
      <c r="D8" s="307" t="s">
        <v>144</v>
      </c>
      <c r="E8" s="308" t="s">
        <v>167</v>
      </c>
      <c r="F8" s="307" t="s">
        <v>168</v>
      </c>
      <c r="G8" s="307"/>
      <c r="H8" s="308" t="s">
        <v>147</v>
      </c>
      <c r="I8" s="308" t="s">
        <v>148</v>
      </c>
      <c r="J8" s="229" t="s">
        <v>2763</v>
      </c>
      <c r="K8" s="226">
        <v>44461</v>
      </c>
      <c r="L8" s="226">
        <v>44461</v>
      </c>
      <c r="M8" s="226">
        <v>44469</v>
      </c>
      <c r="N8" s="308" t="s">
        <v>10</v>
      </c>
      <c r="O8" s="308" t="s">
        <v>13</v>
      </c>
      <c r="P8" s="277" t="s">
        <v>15</v>
      </c>
      <c r="T8" s="308"/>
      <c r="V8" s="308"/>
      <c r="W8" s="308"/>
      <c r="X8" s="307" t="str">
        <f>VLOOKUP(功能_33[[#This Row],[User]],SKL放款!A:G,7,FALSE)</f>
        <v>放款推展課</v>
      </c>
      <c r="Y8" s="228">
        <f>IF(功能_33[[#This Row],[實際展示]]="","",功能_33[[#This Row],[實際展示]]+14)</f>
        <v>44475</v>
      </c>
      <c r="Z8" s="226">
        <v>44463</v>
      </c>
      <c r="AA8" s="226">
        <v>44461</v>
      </c>
      <c r="AB8" s="226">
        <v>44461</v>
      </c>
      <c r="AC8" s="226">
        <v>44470</v>
      </c>
      <c r="AD8" s="258" t="s">
        <v>8</v>
      </c>
      <c r="AE8" s="355">
        <v>44483.717361111107</v>
      </c>
      <c r="AF8" s="225">
        <v>44487.745833333327</v>
      </c>
      <c r="AG8" s="226" t="str">
        <f>IFERROR(IF(VLOOKUP(功能_33[[#This Row],[功能代號]],E:Q,11,FALSE)=0,"",VLOOKUP(功能_33[[#This Row],[功能代號]],E:Q,11,FALSE)),"")</f>
        <v>李珮君</v>
      </c>
      <c r="AH8" s="226"/>
      <c r="AI8" s="226"/>
      <c r="AJ8" s="307"/>
      <c r="AK8" s="307"/>
      <c r="AL8" s="308" t="s">
        <v>165</v>
      </c>
      <c r="AM8" s="307" t="s">
        <v>166</v>
      </c>
      <c r="AN8" s="307" t="e">
        <f>VLOOKUP(功能_33[[#This Row],[功能代號]],工作表2!B:B,1,FALSE)</f>
        <v>#N/A</v>
      </c>
    </row>
    <row r="9" spans="1:40" hidden="1">
      <c r="A9" s="224">
        <v>6</v>
      </c>
      <c r="B9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07" t="s">
        <v>101</v>
      </c>
      <c r="D9" s="307" t="s">
        <v>144</v>
      </c>
      <c r="E9" s="308" t="s">
        <v>169</v>
      </c>
      <c r="F9" s="307" t="s">
        <v>170</v>
      </c>
      <c r="G9" s="307"/>
      <c r="H9" s="308" t="s">
        <v>147</v>
      </c>
      <c r="I9" s="308" t="s">
        <v>148</v>
      </c>
      <c r="J9" s="229" t="s">
        <v>2763</v>
      </c>
      <c r="K9" s="226">
        <v>44399</v>
      </c>
      <c r="L9" s="226">
        <v>44399</v>
      </c>
      <c r="M9" s="226" t="str">
        <f>IFERROR(IF(VLOOKUP(功能_33[[#This Row],[功能代號]],討論項目!A:H,8,FALSE)=0,"",VLOOKUP(功能_33[[#This Row],[功能代號]],討論項目!A:H,8,FALSE)),"")</f>
        <v/>
      </c>
      <c r="N9" s="308" t="s">
        <v>10</v>
      </c>
      <c r="O9" s="308" t="s">
        <v>15</v>
      </c>
      <c r="T9" s="308"/>
      <c r="V9" s="308"/>
      <c r="W9" s="308"/>
      <c r="X9" s="307" t="str">
        <f>VLOOKUP(功能_33[[#This Row],[User]],SKL放款!A:G,7,FALSE)</f>
        <v>放款推展課</v>
      </c>
      <c r="Y9" s="228">
        <f>IF(功能_33[[#This Row],[實際展示]]="","",功能_33[[#This Row],[實際展示]]+14)</f>
        <v>44413</v>
      </c>
      <c r="Z9" s="226">
        <v>44463</v>
      </c>
      <c r="AA9" s="226">
        <v>44468</v>
      </c>
      <c r="AB9" s="226">
        <v>44468</v>
      </c>
      <c r="AC9" s="226">
        <v>44470</v>
      </c>
      <c r="AD9" s="258" t="s">
        <v>12</v>
      </c>
      <c r="AE9" s="355">
        <v>44482.39166666667</v>
      </c>
      <c r="AF9" s="225">
        <v>44487.745833333327</v>
      </c>
      <c r="AG9" s="226" t="str">
        <f>IFERROR(IF(VLOOKUP(功能_33[[#This Row],[功能代號]],E:Q,11,FALSE)=0,"",VLOOKUP(功能_33[[#This Row],[功能代號]],E:Q,11,FALSE)),"")</f>
        <v>陳俞辛</v>
      </c>
      <c r="AH9" s="226"/>
      <c r="AI9" s="226"/>
      <c r="AJ9" s="307"/>
      <c r="AK9" s="357">
        <v>44491</v>
      </c>
      <c r="AM9" s="307" t="s">
        <v>171</v>
      </c>
      <c r="AN9" s="307" t="str">
        <f>VLOOKUP(功能_33[[#This Row],[功能代號]],工作表2!B:B,1,FALSE)</f>
        <v>L1905</v>
      </c>
    </row>
    <row r="10" spans="1:40" hidden="1">
      <c r="A10" s="224">
        <v>7</v>
      </c>
      <c r="B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07" t="s">
        <v>101</v>
      </c>
      <c r="D10" s="307" t="s">
        <v>144</v>
      </c>
      <c r="E10" s="308" t="s">
        <v>172</v>
      </c>
      <c r="F10" s="307" t="s">
        <v>173</v>
      </c>
      <c r="G10" s="307"/>
      <c r="H10" s="308" t="s">
        <v>147</v>
      </c>
      <c r="I10" s="308" t="s">
        <v>148</v>
      </c>
      <c r="J10" s="229" t="s">
        <v>2763</v>
      </c>
      <c r="K10" s="226">
        <v>44399</v>
      </c>
      <c r="L10" s="226">
        <v>44399</v>
      </c>
      <c r="M10" s="226">
        <f>IFERROR(IF(VLOOKUP(功能_33[[#This Row],[功能代號]],討論項目!A:H,8,FALSE)=0,"",VLOOKUP(功能_33[[#This Row],[功能代號]],討論項目!A:H,8,FALSE)),"")</f>
        <v>44431</v>
      </c>
      <c r="N10" s="308" t="s">
        <v>10</v>
      </c>
      <c r="O10" s="308" t="s">
        <v>15</v>
      </c>
      <c r="T10" s="308"/>
      <c r="V10" s="308"/>
      <c r="W10" s="308"/>
      <c r="X10" s="307" t="str">
        <f>VLOOKUP(功能_33[[#This Row],[User]],SKL放款!A:G,7,FALSE)</f>
        <v>放款推展課</v>
      </c>
      <c r="Y10" s="228">
        <f>IF(功能_33[[#This Row],[實際展示]]="","",功能_33[[#This Row],[實際展示]]+14)</f>
        <v>44413</v>
      </c>
      <c r="Z10" s="226">
        <v>44463</v>
      </c>
      <c r="AA10" s="226">
        <v>44468</v>
      </c>
      <c r="AB10" s="226">
        <v>44468</v>
      </c>
      <c r="AC10" s="226">
        <v>44470</v>
      </c>
      <c r="AD10" s="258" t="s">
        <v>12</v>
      </c>
      <c r="AE10" s="355">
        <v>44482.39166666667</v>
      </c>
      <c r="AF10" s="225">
        <v>44487.745833333327</v>
      </c>
      <c r="AG10" s="226" t="str">
        <f>IFERROR(IF(VLOOKUP(功能_33[[#This Row],[功能代號]],E:Q,11,FALSE)=0,"",VLOOKUP(功能_33[[#This Row],[功能代號]],E:Q,11,FALSE)),"")</f>
        <v>陳俞辛</v>
      </c>
      <c r="AH10" s="226"/>
      <c r="AI10" s="226"/>
      <c r="AJ10" s="307"/>
      <c r="AK10" s="307"/>
      <c r="AM10" s="307" t="s">
        <v>171</v>
      </c>
      <c r="AN10" s="307" t="str">
        <f>VLOOKUP(功能_33[[#This Row],[功能代號]],工作表2!B:B,1,FALSE)</f>
        <v>L1105</v>
      </c>
    </row>
    <row r="11" spans="1:40" hidden="1">
      <c r="A11" s="224">
        <v>8</v>
      </c>
      <c r="B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07" t="s">
        <v>101</v>
      </c>
      <c r="D11" s="307"/>
      <c r="E11" s="308" t="s">
        <v>174</v>
      </c>
      <c r="F11" s="307" t="s">
        <v>175</v>
      </c>
      <c r="G11" s="307"/>
      <c r="H11" s="308" t="s">
        <v>147</v>
      </c>
      <c r="I11" s="308" t="s">
        <v>148</v>
      </c>
      <c r="J11" s="229" t="s">
        <v>2763</v>
      </c>
      <c r="K11" s="226">
        <v>44399</v>
      </c>
      <c r="L11" s="226">
        <v>44400</v>
      </c>
      <c r="M11" s="226">
        <f>IFERROR(IF(VLOOKUP(功能_33[[#This Row],[功能代號]],討論項目!A:H,8,FALSE)=0,"",VLOOKUP(功能_33[[#This Row],[功能代號]],討論項目!A:H,8,FALSE)),"")</f>
        <v>44412</v>
      </c>
      <c r="N11" s="308" t="s">
        <v>10</v>
      </c>
      <c r="O11" s="308" t="s">
        <v>11</v>
      </c>
      <c r="T11" s="308"/>
      <c r="V11" s="308"/>
      <c r="W11" s="308"/>
      <c r="X11" s="307" t="str">
        <f>VLOOKUP(功能_33[[#This Row],[User]],SKL放款!A:G,7,FALSE)</f>
        <v>放款服務課</v>
      </c>
      <c r="Y11" s="228">
        <f>IF(功能_33[[#This Row],[實際展示]]="","",功能_33[[#This Row],[實際展示]]+14)</f>
        <v>44414</v>
      </c>
      <c r="Z11" s="226">
        <v>44463</v>
      </c>
      <c r="AA11" s="226">
        <v>44468</v>
      </c>
      <c r="AB11" s="226">
        <v>44468</v>
      </c>
      <c r="AC11" s="226">
        <v>44470</v>
      </c>
      <c r="AD11" s="258" t="s">
        <v>7</v>
      </c>
      <c r="AE11" s="355">
        <v>44483.56527777778</v>
      </c>
      <c r="AF11" s="225">
        <v>44487.745833333327</v>
      </c>
      <c r="AG11" s="226" t="str">
        <f>IFERROR(IF(VLOOKUP(功能_33[[#This Row],[功能代號]],E:Q,11,FALSE)=0,"",VLOOKUP(功能_33[[#This Row],[功能代號]],E:Q,11,FALSE)),"")</f>
        <v>蔡珮瑜</v>
      </c>
      <c r="AH11" s="226"/>
      <c r="AI11" s="226"/>
      <c r="AJ11" s="307"/>
      <c r="AK11" s="307"/>
      <c r="AL11" s="308" t="s">
        <v>176</v>
      </c>
      <c r="AM11" s="307" t="s">
        <v>177</v>
      </c>
      <c r="AN11" s="307" t="str">
        <f>VLOOKUP(功能_33[[#This Row],[功能代號]],工作表2!B:B,1,FALSE)</f>
        <v>L190A</v>
      </c>
    </row>
    <row r="12" spans="1:40" hidden="1">
      <c r="A12" s="224">
        <v>9</v>
      </c>
      <c r="B12" s="307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07" t="s">
        <v>101</v>
      </c>
      <c r="D12" s="307"/>
      <c r="E12" s="308" t="s">
        <v>178</v>
      </c>
      <c r="F12" s="307" t="s">
        <v>179</v>
      </c>
      <c r="G12" s="307"/>
      <c r="H12" s="308" t="s">
        <v>147</v>
      </c>
      <c r="I12" s="308" t="s">
        <v>148</v>
      </c>
      <c r="J12" s="229" t="s">
        <v>2763</v>
      </c>
      <c r="K12" s="226">
        <v>44399</v>
      </c>
      <c r="L12" s="226">
        <v>44400</v>
      </c>
      <c r="M12" s="226">
        <f>IFERROR(IF(VLOOKUP(功能_33[[#This Row],[功能代號]],討論項目!A:H,8,FALSE)=0,"",VLOOKUP(功能_33[[#This Row],[功能代號]],討論項目!A:H,8,FALSE)),"")</f>
        <v>44431</v>
      </c>
      <c r="N12" s="308" t="s">
        <v>12</v>
      </c>
      <c r="O12" s="308" t="s">
        <v>180</v>
      </c>
      <c r="T12" s="308"/>
      <c r="V12" s="308"/>
      <c r="W12" s="308"/>
      <c r="X12" s="307" t="str">
        <f>VLOOKUP(功能_33[[#This Row],[User]],SKL放款!A:G,7,FALSE)</f>
        <v>放款服務課</v>
      </c>
      <c r="Y12" s="228">
        <f>IF(功能_33[[#This Row],[實際展示]]="","",功能_33[[#This Row],[實際展示]]+14)</f>
        <v>44414</v>
      </c>
      <c r="Z12" s="226">
        <v>44463</v>
      </c>
      <c r="AA12" s="226">
        <v>44468</v>
      </c>
      <c r="AB12" s="226">
        <v>44468</v>
      </c>
      <c r="AC12" s="226">
        <v>44470</v>
      </c>
      <c r="AD12" s="258" t="s">
        <v>8</v>
      </c>
      <c r="AE12" s="355">
        <v>44483.717361111107</v>
      </c>
      <c r="AF12" s="225">
        <v>44487.745833333327</v>
      </c>
      <c r="AG12" s="226" t="str">
        <f>IFERROR(IF(VLOOKUP(功能_33[[#This Row],[功能代號]],E:Q,11,FALSE)=0,"",VLOOKUP(功能_33[[#This Row],[功能代號]],E:Q,11,FALSE)),"")</f>
        <v>陳政皓</v>
      </c>
      <c r="AH12" s="226"/>
      <c r="AI12" s="226"/>
      <c r="AJ12" s="307"/>
      <c r="AK12" s="307"/>
      <c r="AL12" s="308" t="s">
        <v>181</v>
      </c>
      <c r="AM12" s="307" t="s">
        <v>182</v>
      </c>
      <c r="AN12" s="307" t="str">
        <f>VLOOKUP(功能_33[[#This Row],[功能代號]],工作表2!B:B,1,FALSE)</f>
        <v>L1908</v>
      </c>
    </row>
    <row r="13" spans="1:40" hidden="1">
      <c r="A13" s="224">
        <v>10</v>
      </c>
      <c r="B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07" t="s">
        <v>101</v>
      </c>
      <c r="D13" s="307"/>
      <c r="E13" s="308" t="s">
        <v>183</v>
      </c>
      <c r="F13" s="307" t="s">
        <v>184</v>
      </c>
      <c r="G13" s="307"/>
      <c r="H13" s="308" t="s">
        <v>147</v>
      </c>
      <c r="I13" s="308" t="s">
        <v>148</v>
      </c>
      <c r="J13" s="229" t="s">
        <v>2763</v>
      </c>
      <c r="K13" s="226">
        <v>44399</v>
      </c>
      <c r="L13" s="226">
        <v>44400</v>
      </c>
      <c r="M13" s="226">
        <f>IFERROR(IF(VLOOKUP(功能_33[[#This Row],[功能代號]],討論項目!A:H,8,FALSE)=0,"",VLOOKUP(功能_33[[#This Row],[功能代號]],討論項目!A:H,8,FALSE)),"")</f>
        <v>44424</v>
      </c>
      <c r="N13" s="308" t="s">
        <v>12</v>
      </c>
      <c r="O13" s="308" t="s">
        <v>180</v>
      </c>
      <c r="T13" s="308"/>
      <c r="V13" s="308"/>
      <c r="W13" s="308"/>
      <c r="X13" s="307" t="str">
        <f>VLOOKUP(功能_33[[#This Row],[User]],SKL放款!A:G,7,FALSE)</f>
        <v>放款服務課</v>
      </c>
      <c r="Y13" s="228">
        <f>IF(功能_33[[#This Row],[實際展示]]="","",功能_33[[#This Row],[實際展示]]+14)</f>
        <v>44414</v>
      </c>
      <c r="Z13" s="226">
        <v>44463</v>
      </c>
      <c r="AA13" s="226">
        <v>44468</v>
      </c>
      <c r="AB13" s="226">
        <v>44468</v>
      </c>
      <c r="AC13" s="226">
        <v>44470</v>
      </c>
      <c r="AD13" s="258" t="s">
        <v>8</v>
      </c>
      <c r="AE13" s="355">
        <v>44483.717361111107</v>
      </c>
      <c r="AF13" s="225">
        <v>44487.745833333327</v>
      </c>
      <c r="AG13" s="226" t="str">
        <f>IFERROR(IF(VLOOKUP(功能_33[[#This Row],[功能代號]],E:Q,11,FALSE)=0,"",VLOOKUP(功能_33[[#This Row],[功能代號]],E:Q,11,FALSE)),"")</f>
        <v>陳政皓</v>
      </c>
      <c r="AH13" s="226"/>
      <c r="AI13" s="226"/>
      <c r="AJ13" s="307"/>
      <c r="AK13" s="307"/>
      <c r="AL13" s="308" t="s">
        <v>181</v>
      </c>
      <c r="AM13" s="307" t="s">
        <v>182</v>
      </c>
      <c r="AN13" s="307" t="str">
        <f>VLOOKUP(功能_33[[#This Row],[功能代號]],工作表2!B:B,1,FALSE)</f>
        <v>L1108</v>
      </c>
    </row>
    <row r="14" spans="1:40" hidden="1">
      <c r="A14" s="224">
        <v>121</v>
      </c>
      <c r="B14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07" t="s">
        <v>101</v>
      </c>
      <c r="D14" s="307" t="s">
        <v>144</v>
      </c>
      <c r="E14" s="308" t="s">
        <v>185</v>
      </c>
      <c r="F14" s="307" t="s">
        <v>186</v>
      </c>
      <c r="G14" s="307"/>
      <c r="H14" s="308" t="s">
        <v>147</v>
      </c>
      <c r="I14" s="308" t="s">
        <v>148</v>
      </c>
      <c r="J14" s="229" t="s">
        <v>2763</v>
      </c>
      <c r="K14" s="226">
        <v>44399</v>
      </c>
      <c r="L14" s="226">
        <v>44400</v>
      </c>
      <c r="M14" s="226" t="str">
        <f>IFERROR(IF(VLOOKUP(功能_33[[#This Row],[功能代號]],討論項目!A:H,8,FALSE)=0,"",VLOOKUP(功能_33[[#This Row],[功能代號]],討論項目!A:H,8,FALSE)),"")</f>
        <v/>
      </c>
      <c r="N14" s="308" t="s">
        <v>10</v>
      </c>
      <c r="O14" s="308" t="s">
        <v>13</v>
      </c>
      <c r="T14" s="308"/>
      <c r="V14" s="308"/>
      <c r="W14" s="308"/>
      <c r="X14" s="307" t="str">
        <f>VLOOKUP(功能_33[[#This Row],[User]],SKL放款!A:G,7,FALSE)</f>
        <v>放款推展課</v>
      </c>
      <c r="Y14" s="228">
        <f>IF(功能_33[[#This Row],[實際展示]]="","",功能_33[[#This Row],[實際展示]]+14)</f>
        <v>44414</v>
      </c>
      <c r="Z14" s="226">
        <v>44463</v>
      </c>
      <c r="AA14" s="226">
        <v>44468</v>
      </c>
      <c r="AB14" s="226">
        <v>44468</v>
      </c>
      <c r="AC14" s="226">
        <v>44470</v>
      </c>
      <c r="AD14" s="258" t="s">
        <v>10</v>
      </c>
      <c r="AE14" s="355">
        <v>44483.565972222219</v>
      </c>
      <c r="AF14" s="225">
        <v>44487.745833333327</v>
      </c>
      <c r="AG14" s="226" t="str">
        <f>IFERROR(IF(VLOOKUP(功能_33[[#This Row],[功能代號]],E:Q,11,FALSE)=0,"",VLOOKUP(功能_33[[#This Row],[功能代號]],E:Q,11,FALSE)),"")</f>
        <v>李珮君</v>
      </c>
      <c r="AH14" s="226"/>
      <c r="AI14" s="226"/>
      <c r="AJ14" s="307"/>
      <c r="AK14" s="226"/>
      <c r="AM14" s="307" t="s">
        <v>171</v>
      </c>
      <c r="AN14" s="307" t="str">
        <f>VLOOKUP(功能_33[[#This Row],[功能代號]],工作表2!B:B,1,FALSE)</f>
        <v>L1109</v>
      </c>
    </row>
    <row r="15" spans="1:40" hidden="1">
      <c r="A15" s="224">
        <v>122</v>
      </c>
      <c r="B15" s="307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07" t="s">
        <v>101</v>
      </c>
      <c r="D15" s="307" t="s">
        <v>144</v>
      </c>
      <c r="E15" s="308" t="s">
        <v>187</v>
      </c>
      <c r="F15" s="307" t="s">
        <v>188</v>
      </c>
      <c r="G15" s="307"/>
      <c r="H15" s="308" t="s">
        <v>147</v>
      </c>
      <c r="I15" s="308" t="s">
        <v>147</v>
      </c>
      <c r="J15" s="229" t="s">
        <v>2763</v>
      </c>
      <c r="K15" s="226">
        <v>44403</v>
      </c>
      <c r="L15" s="226">
        <v>44400</v>
      </c>
      <c r="M15" s="226" t="str">
        <f>IFERROR(IF(VLOOKUP(功能_33[[#This Row],[功能代號]],討論項目!A:H,8,FALSE)=0,"",VLOOKUP(功能_33[[#This Row],[功能代號]],討論項目!A:H,8,FALSE)),"")</f>
        <v/>
      </c>
      <c r="N15" s="308" t="s">
        <v>10</v>
      </c>
      <c r="O15" s="308" t="s">
        <v>28</v>
      </c>
      <c r="P15" s="277" t="s">
        <v>21</v>
      </c>
      <c r="T15" s="308"/>
      <c r="V15" s="308"/>
      <c r="W15" s="308"/>
      <c r="X15" s="307" t="str">
        <f>VLOOKUP(功能_33[[#This Row],[User]],SKL放款!A:G,7,FALSE)</f>
        <v>放款審查課</v>
      </c>
      <c r="Y15" s="228">
        <f>IF(功能_33[[#This Row],[實際展示]]="","",功能_33[[#This Row],[實際展示]]+14)</f>
        <v>44414</v>
      </c>
      <c r="Z15" s="226">
        <v>44463</v>
      </c>
      <c r="AA15" s="226">
        <v>44468</v>
      </c>
      <c r="AB15" s="226">
        <v>44468</v>
      </c>
      <c r="AC15" s="226">
        <v>44470</v>
      </c>
      <c r="AD15" s="258" t="s">
        <v>10</v>
      </c>
      <c r="AE15" s="355">
        <v>44483.565972222219</v>
      </c>
      <c r="AF15" s="225">
        <v>44487.745833333327</v>
      </c>
      <c r="AG15" s="226" t="str">
        <f>IFERROR(IF(VLOOKUP(功能_33[[#This Row],[功能代號]],E:Q,11,FALSE)=0,"",VLOOKUP(功能_33[[#This Row],[功能代號]],E:Q,11,FALSE)),"")</f>
        <v>施美娟</v>
      </c>
      <c r="AH15" s="226">
        <v>44481</v>
      </c>
      <c r="AI15" s="408" t="s">
        <v>189</v>
      </c>
      <c r="AJ15" s="307"/>
      <c r="AK15" s="226"/>
      <c r="AL15" s="308" t="s">
        <v>190</v>
      </c>
      <c r="AM15" s="307" t="s">
        <v>191</v>
      </c>
      <c r="AN15" s="307" t="e">
        <f>VLOOKUP(功能_33[[#This Row],[功能代號]],工作表2!B:B,1,FALSE)</f>
        <v>#N/A</v>
      </c>
    </row>
    <row r="16" spans="1:40" hidden="1">
      <c r="A16" s="224">
        <v>123</v>
      </c>
      <c r="B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07" t="s">
        <v>101</v>
      </c>
      <c r="D16" s="307" t="s">
        <v>144</v>
      </c>
      <c r="E16" s="308" t="s">
        <v>192</v>
      </c>
      <c r="F16" s="307" t="s">
        <v>193</v>
      </c>
      <c r="G16" s="307"/>
      <c r="H16" s="308" t="s">
        <v>147</v>
      </c>
      <c r="I16" s="308" t="s">
        <v>147</v>
      </c>
      <c r="J16" s="229" t="s">
        <v>2763</v>
      </c>
      <c r="K16" s="226">
        <v>44403</v>
      </c>
      <c r="L16" s="226">
        <v>44400</v>
      </c>
      <c r="M16" s="226" t="str">
        <f>IFERROR(IF(VLOOKUP(功能_33[[#This Row],[功能代號]],討論項目!A:H,8,FALSE)=0,"",VLOOKUP(功能_33[[#This Row],[功能代號]],討論項目!A:H,8,FALSE)),"")</f>
        <v/>
      </c>
      <c r="N16" s="308" t="s">
        <v>10</v>
      </c>
      <c r="O16" s="308" t="s">
        <v>28</v>
      </c>
      <c r="P16" s="277" t="s">
        <v>21</v>
      </c>
      <c r="T16" s="308"/>
      <c r="V16" s="308"/>
      <c r="W16" s="308"/>
      <c r="X16" s="307" t="str">
        <f>VLOOKUP(功能_33[[#This Row],[User]],SKL放款!A:G,7,FALSE)</f>
        <v>放款審查課</v>
      </c>
      <c r="Y16" s="228">
        <f>IF(功能_33[[#This Row],[實際展示]]="","",功能_33[[#This Row],[實際展示]]+14)</f>
        <v>44414</v>
      </c>
      <c r="Z16" s="226">
        <v>44463</v>
      </c>
      <c r="AA16" s="226">
        <v>44468</v>
      </c>
      <c r="AB16" s="226">
        <v>44468</v>
      </c>
      <c r="AC16" s="226">
        <v>44470</v>
      </c>
      <c r="AD16" s="258" t="s">
        <v>10</v>
      </c>
      <c r="AE16" s="355">
        <v>44483.565972222219</v>
      </c>
      <c r="AF16" s="225">
        <v>44487.745833333327</v>
      </c>
      <c r="AG16" s="226" t="str">
        <f>IFERROR(IF(VLOOKUP(功能_33[[#This Row],[功能代號]],E:Q,11,FALSE)=0,"",VLOOKUP(功能_33[[#This Row],[功能代號]],E:Q,11,FALSE)),"")</f>
        <v>施美娟</v>
      </c>
      <c r="AH16" s="226">
        <v>44481</v>
      </c>
      <c r="AI16" s="408" t="s">
        <v>189</v>
      </c>
      <c r="AJ16" s="307"/>
      <c r="AK16" s="226"/>
      <c r="AL16" s="308" t="s">
        <v>190</v>
      </c>
      <c r="AM16" s="307" t="s">
        <v>194</v>
      </c>
      <c r="AN16" s="307" t="e">
        <f>VLOOKUP(功能_33[[#This Row],[功能代號]],工作表2!B:B,1,FALSE)</f>
        <v>#N/A</v>
      </c>
    </row>
    <row r="17" spans="1:40" ht="14.25" hidden="1" customHeight="1">
      <c r="A17" s="224"/>
      <c r="B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07" t="s">
        <v>101</v>
      </c>
      <c r="D17" s="230"/>
      <c r="E17" s="308" t="s">
        <v>195</v>
      </c>
      <c r="F17" s="307" t="s">
        <v>196</v>
      </c>
      <c r="G17" s="262" t="s">
        <v>197</v>
      </c>
      <c r="H17" s="308" t="s">
        <v>147</v>
      </c>
      <c r="I17" s="308" t="s">
        <v>147</v>
      </c>
      <c r="J17" s="229" t="s">
        <v>2763</v>
      </c>
      <c r="K17" s="226">
        <v>44461</v>
      </c>
      <c r="L17" s="226">
        <v>44461</v>
      </c>
      <c r="M17" s="226" t="str">
        <f>IFERROR(IF(VLOOKUP(功能_33[[#This Row],[功能代號]],討論項目!A:H,8,FALSE)=0,"",VLOOKUP(功能_33[[#This Row],[功能代號]],討論項目!A:H,8,FALSE)),"")</f>
        <v/>
      </c>
      <c r="N17" s="308" t="s">
        <v>10</v>
      </c>
      <c r="O17" s="308" t="s">
        <v>28</v>
      </c>
      <c r="T17" s="308"/>
      <c r="V17" s="308"/>
      <c r="W17" s="308"/>
      <c r="X17" s="307" t="str">
        <f>VLOOKUP(功能_33[[#This Row],[User]],SKL放款!A:G,7,FALSE)</f>
        <v>放款審查課</v>
      </c>
      <c r="Y17" s="228">
        <f>IF(功能_33[[#This Row],[實際展示]]="","",功能_33[[#This Row],[實際展示]]+14)</f>
        <v>44475</v>
      </c>
      <c r="Z17" s="226">
        <v>44463</v>
      </c>
      <c r="AA17" s="226">
        <v>44468</v>
      </c>
      <c r="AB17" s="226">
        <v>44468</v>
      </c>
      <c r="AC17" s="226">
        <v>44515</v>
      </c>
      <c r="AD17" s="258" t="s">
        <v>10</v>
      </c>
      <c r="AE17" s="226"/>
      <c r="AF17" s="226"/>
      <c r="AG17" s="226" t="str">
        <f>IFERROR(IF(VLOOKUP(功能_33[[#This Row],[功能代號]],E:Q,11,FALSE)=0,"",VLOOKUP(功能_33[[#This Row],[功能代號]],E:Q,11,FALSE)),"")</f>
        <v>施美娟</v>
      </c>
      <c r="AH17" s="226"/>
      <c r="AI17" s="226"/>
      <c r="AJ17" s="307"/>
      <c r="AM17" s="307" t="s">
        <v>199</v>
      </c>
      <c r="AN17" s="307" t="e">
        <f>VLOOKUP(功能_33[[#This Row],[功能代號]],工作表2!B:B,1,FALSE)</f>
        <v>#N/A</v>
      </c>
    </row>
    <row r="18" spans="1:40" ht="14.25" hidden="1" customHeight="1">
      <c r="A18" s="224">
        <v>13</v>
      </c>
      <c r="B18" s="307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07" t="s">
        <v>102</v>
      </c>
      <c r="D18" s="307" t="s">
        <v>200</v>
      </c>
      <c r="E18" s="308" t="s">
        <v>201</v>
      </c>
      <c r="F18" s="307" t="s">
        <v>202</v>
      </c>
      <c r="G18" s="307"/>
      <c r="H18" s="308" t="s">
        <v>203</v>
      </c>
      <c r="I18" s="308" t="s">
        <v>204</v>
      </c>
      <c r="J18" s="229" t="s">
        <v>2780</v>
      </c>
      <c r="K18" s="226">
        <v>44403</v>
      </c>
      <c r="L18" s="226">
        <v>44403</v>
      </c>
      <c r="M18" s="226" t="str">
        <f>IFERROR(IF(VLOOKUP(功能_33[[#This Row],[功能代號]],討論項目!A:H,8,FALSE)=0,"",VLOOKUP(功能_33[[#This Row],[功能代號]],討論項目!A:H,8,FALSE)),"")</f>
        <v/>
      </c>
      <c r="N18" s="308" t="s">
        <v>10</v>
      </c>
      <c r="O18" s="308" t="s">
        <v>11</v>
      </c>
      <c r="T18" s="308"/>
      <c r="V18" s="308"/>
      <c r="W18" s="308"/>
      <c r="X18" s="307" t="str">
        <f>VLOOKUP(功能_33[[#This Row],[User]],SKL放款!A:G,7,FALSE)</f>
        <v>放款服務課</v>
      </c>
      <c r="Y18" s="228">
        <f>IF(功能_33[[#This Row],[實際展示]]="","",功能_33[[#This Row],[實際展示]]+14)</f>
        <v>44417</v>
      </c>
      <c r="Z18" s="226" t="s">
        <v>205</v>
      </c>
      <c r="AA18" s="226">
        <v>44477</v>
      </c>
      <c r="AB18" s="226">
        <v>44477</v>
      </c>
      <c r="AC18" s="226"/>
      <c r="AD18" s="226" t="s">
        <v>198</v>
      </c>
      <c r="AE18" s="226"/>
      <c r="AF18" s="355"/>
      <c r="AG18" s="226" t="str">
        <f>IFERROR(IF(VLOOKUP(功能_33[[#This Row],[功能代號]],E:Q,11,FALSE)=0,"",VLOOKUP(功能_33[[#This Row],[功能代號]],E:Q,11,FALSE)),"")</f>
        <v>蔡珮瑜</v>
      </c>
      <c r="AH18" s="226"/>
      <c r="AI18" s="226"/>
      <c r="AJ18" s="307"/>
      <c r="AL18" s="308" t="s">
        <v>2781</v>
      </c>
      <c r="AM18" s="307" t="s">
        <v>206</v>
      </c>
      <c r="AN18" s="307" t="e">
        <f>VLOOKUP(功能_33[[#This Row],[功能代號]],工作表2!B:B,1,FALSE)</f>
        <v>#N/A</v>
      </c>
    </row>
    <row r="19" spans="1:40" ht="14.25" hidden="1" customHeight="1">
      <c r="A19" s="224">
        <v>14</v>
      </c>
      <c r="B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07" t="s">
        <v>102</v>
      </c>
      <c r="D19" s="307" t="s">
        <v>200</v>
      </c>
      <c r="E19" s="308" t="s">
        <v>207</v>
      </c>
      <c r="F19" s="307" t="s">
        <v>208</v>
      </c>
      <c r="G19" s="307"/>
      <c r="H19" s="308" t="s">
        <v>203</v>
      </c>
      <c r="I19" s="308" t="s">
        <v>204</v>
      </c>
      <c r="J19" s="229" t="s">
        <v>2780</v>
      </c>
      <c r="K19" s="226">
        <v>44403</v>
      </c>
      <c r="L19" s="226">
        <v>44403</v>
      </c>
      <c r="M19" s="226">
        <f>IFERROR(IF(VLOOKUP(功能_33[[#This Row],[功能代號]],討論項目!A:H,8,FALSE)=0,"",VLOOKUP(功能_33[[#This Row],[功能代號]],討論項目!A:H,8,FALSE)),"")</f>
        <v>44432</v>
      </c>
      <c r="N19" s="308" t="s">
        <v>10</v>
      </c>
      <c r="O19" s="308" t="s">
        <v>11</v>
      </c>
      <c r="T19" s="308"/>
      <c r="V19" s="308"/>
      <c r="W19" s="308"/>
      <c r="X19" s="307" t="str">
        <f>VLOOKUP(功能_33[[#This Row],[User]],SKL放款!A:G,7,FALSE)</f>
        <v>放款服務課</v>
      </c>
      <c r="Y19" s="228">
        <f>IF(功能_33[[#This Row],[實際展示]]="","",功能_33[[#This Row],[實際展示]]+14)</f>
        <v>44417</v>
      </c>
      <c r="Z19" s="226">
        <v>44470</v>
      </c>
      <c r="AA19" s="226">
        <f>IF(功能_33[[#This Row],[URS交二審]]=0,"",功能_33[[#This Row],[URS交二審]]+7)</f>
        <v>44477</v>
      </c>
      <c r="AB19" s="226">
        <f>IF(功能_33[[#This Row],[URS交二審]]=0,"",功能_33[[#This Row],[URS交二審]]+7)</f>
        <v>44477</v>
      </c>
      <c r="AC19" s="226"/>
      <c r="AD19" s="226" t="s">
        <v>198</v>
      </c>
      <c r="AE19" s="226"/>
      <c r="AF19" s="355"/>
      <c r="AG19" s="226" t="str">
        <f>IFERROR(IF(VLOOKUP(功能_33[[#This Row],[功能代號]],E:Q,11,FALSE)=0,"",VLOOKUP(功能_33[[#This Row],[功能代號]],E:Q,11,FALSE)),"")</f>
        <v>蔡珮瑜</v>
      </c>
      <c r="AH19" s="226"/>
      <c r="AI19" s="226"/>
      <c r="AJ19" s="307"/>
      <c r="AL19" s="308" t="s">
        <v>2781</v>
      </c>
      <c r="AM19" s="307" t="s">
        <v>208</v>
      </c>
      <c r="AN19" s="307" t="str">
        <f>VLOOKUP(功能_33[[#This Row],[功能代號]],工作表2!B:B,1,FALSE)</f>
        <v>L2101</v>
      </c>
    </row>
    <row r="20" spans="1:40" ht="14.25" hidden="1" customHeight="1">
      <c r="A20" s="224">
        <v>15</v>
      </c>
      <c r="B20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07" t="s">
        <v>102</v>
      </c>
      <c r="D20" s="307" t="s">
        <v>210</v>
      </c>
      <c r="E20" s="308" t="s">
        <v>211</v>
      </c>
      <c r="F20" s="307" t="s">
        <v>212</v>
      </c>
      <c r="G20" s="307"/>
      <c r="H20" s="308" t="s">
        <v>203</v>
      </c>
      <c r="I20" s="308" t="s">
        <v>204</v>
      </c>
      <c r="J20" s="229" t="s">
        <v>2780</v>
      </c>
      <c r="K20" s="226">
        <v>44403</v>
      </c>
      <c r="L20" s="226">
        <v>44403</v>
      </c>
      <c r="M20" s="226">
        <f>IFERROR(IF(VLOOKUP(功能_33[[#This Row],[功能代號]],討論項目!A:H,8,FALSE)=0,"",VLOOKUP(功能_33[[#This Row],[功能代號]],討論項目!A:H,8,FALSE)),"")</f>
        <v>44431</v>
      </c>
      <c r="N20" s="308" t="s">
        <v>10</v>
      </c>
      <c r="O20" s="308" t="s">
        <v>13</v>
      </c>
      <c r="T20" s="308"/>
      <c r="V20" s="308"/>
      <c r="W20" s="308"/>
      <c r="X20" s="307" t="str">
        <f>VLOOKUP(功能_33[[#This Row],[User]],SKL放款!A:G,7,FALSE)</f>
        <v>放款推展課</v>
      </c>
      <c r="Y20" s="228">
        <f>IF(功能_33[[#This Row],[實際展示]]="","",功能_33[[#This Row],[實際展示]]+14)</f>
        <v>44417</v>
      </c>
      <c r="Z20" s="226" t="s">
        <v>213</v>
      </c>
      <c r="AA20" s="226"/>
      <c r="AB20" s="226"/>
      <c r="AC20" s="226"/>
      <c r="AD20" s="226"/>
      <c r="AE20" s="226"/>
      <c r="AF20" s="355"/>
      <c r="AG20" s="226" t="str">
        <f>IFERROR(IF(VLOOKUP(功能_33[[#This Row],[功能代號]],E:Q,11,FALSE)=0,"",VLOOKUP(功能_33[[#This Row],[功能代號]],E:Q,11,FALSE)),"")</f>
        <v>李珮君</v>
      </c>
      <c r="AH20" s="226"/>
      <c r="AI20" s="226"/>
      <c r="AJ20" s="307"/>
      <c r="AL20" s="308">
        <v>201</v>
      </c>
      <c r="AM20" s="307" t="s">
        <v>214</v>
      </c>
      <c r="AN20" s="307" t="str">
        <f>VLOOKUP(功能_33[[#This Row],[功能代號]],工作表2!B:B,1,FALSE)</f>
        <v>L2010</v>
      </c>
    </row>
    <row r="21" spans="1:40" ht="14.25" hidden="1" customHeight="1">
      <c r="A21" s="224">
        <v>16</v>
      </c>
      <c r="B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07" t="s">
        <v>102</v>
      </c>
      <c r="D21" s="307" t="s">
        <v>210</v>
      </c>
      <c r="E21" s="308" t="s">
        <v>215</v>
      </c>
      <c r="F21" s="307" t="s">
        <v>216</v>
      </c>
      <c r="G21" s="307"/>
      <c r="H21" s="308" t="s">
        <v>203</v>
      </c>
      <c r="I21" s="308" t="s">
        <v>204</v>
      </c>
      <c r="J21" s="229" t="s">
        <v>2780</v>
      </c>
      <c r="K21" s="226">
        <v>44403</v>
      </c>
      <c r="L21" s="226">
        <v>44403</v>
      </c>
      <c r="M21" s="226">
        <f>IFERROR(IF(VLOOKUP(功能_33[[#This Row],[功能代號]],討論項目!A:H,8,FALSE)=0,"",VLOOKUP(功能_33[[#This Row],[功能代號]],討論項目!A:H,8,FALSE)),"")</f>
        <v>44468</v>
      </c>
      <c r="N21" s="308" t="s">
        <v>10</v>
      </c>
      <c r="O21" s="308" t="s">
        <v>13</v>
      </c>
      <c r="T21" s="308"/>
      <c r="V21" s="308"/>
      <c r="W21" s="308"/>
      <c r="X21" s="307" t="str">
        <f>VLOOKUP(功能_33[[#This Row],[User]],SKL放款!A:G,7,FALSE)</f>
        <v>放款推展課</v>
      </c>
      <c r="Y21" s="228">
        <f>IF(功能_33[[#This Row],[實際展示]]="","",功能_33[[#This Row],[實際展示]]+14)</f>
        <v>44417</v>
      </c>
      <c r="Z21" s="226">
        <v>44470</v>
      </c>
      <c r="AA21" s="226">
        <f>IF(功能_33[[#This Row],[URS交二審]]=0,"",功能_33[[#This Row],[URS交二審]]+7)</f>
        <v>44477</v>
      </c>
      <c r="AB21" s="226">
        <f>IF(功能_33[[#This Row],[URS交二審]]=0,"",功能_33[[#This Row],[URS交二審]]+7)</f>
        <v>44477</v>
      </c>
      <c r="AC21" s="226"/>
      <c r="AD21" s="226" t="s">
        <v>198</v>
      </c>
      <c r="AE21" s="226"/>
      <c r="AF21" s="355"/>
      <c r="AG21" s="226" t="str">
        <f>IFERROR(IF(VLOOKUP(功能_33[[#This Row],[功能代號]],E:Q,11,FALSE)=0,"",VLOOKUP(功能_33[[#This Row],[功能代號]],E:Q,11,FALSE)),"")</f>
        <v>李珮君</v>
      </c>
      <c r="AH21" s="226"/>
      <c r="AI21" s="226"/>
      <c r="AJ21" s="307"/>
      <c r="AL21" s="308">
        <v>201</v>
      </c>
      <c r="AM21" s="307" t="s">
        <v>216</v>
      </c>
      <c r="AN21" s="307" t="str">
        <f>VLOOKUP(功能_33[[#This Row],[功能代號]],工作表2!B:B,1,FALSE)</f>
        <v>L2111</v>
      </c>
    </row>
    <row r="22" spans="1:40" ht="14.25" hidden="1" customHeight="1">
      <c r="A22" s="224">
        <v>19</v>
      </c>
      <c r="B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07" t="s">
        <v>102</v>
      </c>
      <c r="D22" s="307" t="s">
        <v>217</v>
      </c>
      <c r="E22" s="308" t="s">
        <v>218</v>
      </c>
      <c r="F22" s="307" t="s">
        <v>219</v>
      </c>
      <c r="G22" s="307"/>
      <c r="H22" s="308" t="s">
        <v>203</v>
      </c>
      <c r="I22" s="308" t="s">
        <v>204</v>
      </c>
      <c r="J22" s="229" t="s">
        <v>2780</v>
      </c>
      <c r="K22" s="226">
        <v>44404</v>
      </c>
      <c r="L22" s="226">
        <v>44403</v>
      </c>
      <c r="M22" s="226">
        <f>IFERROR(IF(VLOOKUP(功能_33[[#This Row],[功能代號]],討論項目!A:H,8,FALSE)=0,"",VLOOKUP(功能_33[[#This Row],[功能代號]],討論項目!A:H,8,FALSE)),"")</f>
        <v>44468</v>
      </c>
      <c r="N22" s="308" t="s">
        <v>10</v>
      </c>
      <c r="O22" s="308" t="s">
        <v>13</v>
      </c>
      <c r="T22" s="308"/>
      <c r="V22" s="308"/>
      <c r="W22" s="308"/>
      <c r="X22" s="307" t="str">
        <f>VLOOKUP(功能_33[[#This Row],[User]],SKL放款!A:G,7,FALSE)</f>
        <v>放款推展課</v>
      </c>
      <c r="Y22" s="228">
        <f>IF(功能_33[[#This Row],[實際展示]]="","",功能_33[[#This Row],[實際展示]]+14)</f>
        <v>44417</v>
      </c>
      <c r="Z22" s="226">
        <v>44470</v>
      </c>
      <c r="AA22" s="226">
        <f>IF(功能_33[[#This Row],[URS交二審]]=0,"",功能_33[[#This Row],[URS交二審]]+7)</f>
        <v>44477</v>
      </c>
      <c r="AB22" s="226">
        <f>IF(功能_33[[#This Row],[URS交二審]]=0,"",功能_33[[#This Row],[URS交二審]]+7)</f>
        <v>44477</v>
      </c>
      <c r="AC22" s="226"/>
      <c r="AD22" s="226" t="s">
        <v>198</v>
      </c>
      <c r="AE22" s="226"/>
      <c r="AF22" s="355"/>
      <c r="AG22" s="226" t="str">
        <f>IFERROR(IF(VLOOKUP(功能_33[[#This Row],[功能代號]],E:Q,11,FALSE)=0,"",VLOOKUP(功能_33[[#This Row],[功能代號]],E:Q,11,FALSE)),"")</f>
        <v>李珮君</v>
      </c>
      <c r="AH22" s="226"/>
      <c r="AI22" s="226"/>
      <c r="AJ22" s="307"/>
      <c r="AL22" s="308">
        <v>203</v>
      </c>
      <c r="AM22" s="307" t="s">
        <v>219</v>
      </c>
      <c r="AN22" s="307" t="str">
        <f>VLOOKUP(功能_33[[#This Row],[功能代號]],工作表2!B:B,1,FALSE)</f>
        <v>L2153</v>
      </c>
    </row>
    <row r="23" spans="1:40" ht="14.25" hidden="1" customHeight="1">
      <c r="A23" s="224">
        <v>18</v>
      </c>
      <c r="B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07" t="s">
        <v>102</v>
      </c>
      <c r="D23" s="307" t="s">
        <v>217</v>
      </c>
      <c r="E23" s="308" t="s">
        <v>220</v>
      </c>
      <c r="F23" s="307" t="s">
        <v>221</v>
      </c>
      <c r="G23" s="307"/>
      <c r="H23" s="308" t="s">
        <v>203</v>
      </c>
      <c r="I23" s="308" t="s">
        <v>239</v>
      </c>
      <c r="J23" s="229"/>
      <c r="K23" s="226">
        <v>44404</v>
      </c>
      <c r="L23" s="226">
        <v>44403</v>
      </c>
      <c r="M23" s="226" t="str">
        <f>IFERROR(IF(VLOOKUP(功能_33[[#This Row],[功能代號]],討論項目!A:H,8,FALSE)=0,"",VLOOKUP(功能_33[[#This Row],[功能代號]],討論項目!A:H,8,FALSE)),"")</f>
        <v/>
      </c>
      <c r="N23" s="308" t="s">
        <v>10</v>
      </c>
      <c r="O23" s="308" t="s">
        <v>13</v>
      </c>
      <c r="T23" s="308"/>
      <c r="V23" s="308"/>
      <c r="W23" s="308"/>
      <c r="X23" s="307" t="str">
        <f>VLOOKUP(功能_33[[#This Row],[User]],SKL放款!A:G,7,FALSE)</f>
        <v>放款推展課</v>
      </c>
      <c r="Y23" s="228">
        <f>IF(功能_33[[#This Row],[實際展示]]="","",功能_33[[#This Row],[實際展示]]+14)</f>
        <v>44417</v>
      </c>
      <c r="Z23" s="226" t="s">
        <v>205</v>
      </c>
      <c r="AA23" s="226">
        <v>44477</v>
      </c>
      <c r="AB23" s="226">
        <v>44477</v>
      </c>
      <c r="AC23" s="226"/>
      <c r="AD23" s="226" t="s">
        <v>198</v>
      </c>
      <c r="AE23" s="226"/>
      <c r="AF23" s="355"/>
      <c r="AG23" s="226" t="str">
        <f>IFERROR(IF(VLOOKUP(功能_33[[#This Row],[功能代號]],E:Q,11,FALSE)=0,"",VLOOKUP(功能_33[[#This Row],[功能代號]],E:Q,11,FALSE)),"")</f>
        <v>李珮君</v>
      </c>
      <c r="AH23" s="226"/>
      <c r="AI23" s="226"/>
      <c r="AJ23" s="307"/>
      <c r="AL23" s="308">
        <v>203</v>
      </c>
      <c r="AM23" s="307" t="s">
        <v>222</v>
      </c>
      <c r="AN23" s="307" t="e">
        <f>VLOOKUP(功能_33[[#This Row],[功能代號]],工作表2!B:B,1,FALSE)</f>
        <v>#N/A</v>
      </c>
    </row>
    <row r="24" spans="1:40" ht="14.25" hidden="1" customHeight="1">
      <c r="A24" s="224">
        <v>17</v>
      </c>
      <c r="B24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07" t="s">
        <v>102</v>
      </c>
      <c r="D24" s="307" t="s">
        <v>223</v>
      </c>
      <c r="E24" s="308" t="s">
        <v>224</v>
      </c>
      <c r="F24" s="307" t="s">
        <v>225</v>
      </c>
      <c r="G24" s="307"/>
      <c r="H24" s="308" t="s">
        <v>203</v>
      </c>
      <c r="I24" s="308" t="s">
        <v>239</v>
      </c>
      <c r="J24" s="229"/>
      <c r="K24" s="226">
        <v>44403</v>
      </c>
      <c r="L24" s="226">
        <v>44403</v>
      </c>
      <c r="M24" s="226">
        <f>IFERROR(IF(VLOOKUP(功能_33[[#This Row],[功能代號]],討論項目!A:H,8,FALSE)=0,"",VLOOKUP(功能_33[[#This Row],[功能代號]],討論項目!A:H,8,FALSE)),"")</f>
        <v>44431</v>
      </c>
      <c r="N24" s="308" t="s">
        <v>10</v>
      </c>
      <c r="O24" s="308" t="s">
        <v>13</v>
      </c>
      <c r="T24" s="308"/>
      <c r="V24" s="308"/>
      <c r="W24" s="308"/>
      <c r="X24" s="307" t="str">
        <f>VLOOKUP(功能_33[[#This Row],[User]],SKL放款!A:G,7,FALSE)</f>
        <v>放款推展課</v>
      </c>
      <c r="Y24" s="228">
        <f>IF(功能_33[[#This Row],[實際展示]]="","",功能_33[[#This Row],[實際展示]]+14)</f>
        <v>44417</v>
      </c>
      <c r="Z24" s="226" t="s">
        <v>213</v>
      </c>
      <c r="AA24" s="226"/>
      <c r="AB24" s="226"/>
      <c r="AC24" s="226"/>
      <c r="AD24" s="226"/>
      <c r="AE24" s="226"/>
      <c r="AF24" s="355"/>
      <c r="AG24" s="226" t="str">
        <f>IFERROR(IF(VLOOKUP(功能_33[[#This Row],[功能代號]],E:Q,11,FALSE)=0,"",VLOOKUP(功能_33[[#This Row],[功能代號]],E:Q,11,FALSE)),"")</f>
        <v>李珮君</v>
      </c>
      <c r="AH24" s="226"/>
      <c r="AI24" s="226"/>
      <c r="AJ24" s="307"/>
      <c r="AL24" s="308">
        <v>202</v>
      </c>
      <c r="AM24" s="307" t="s">
        <v>226</v>
      </c>
      <c r="AN24" s="307" t="str">
        <f>VLOOKUP(功能_33[[#This Row],[功能代號]],工作表2!B:B,1,FALSE)</f>
        <v>L2112</v>
      </c>
    </row>
    <row r="25" spans="1:40" ht="14.25" hidden="1" customHeight="1">
      <c r="A25" s="224">
        <v>20</v>
      </c>
      <c r="B25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07" t="s">
        <v>102</v>
      </c>
      <c r="D25" s="307"/>
      <c r="E25" s="308" t="s">
        <v>227</v>
      </c>
      <c r="F25" s="307" t="s">
        <v>228</v>
      </c>
      <c r="G25" s="307"/>
      <c r="H25" s="308" t="s">
        <v>203</v>
      </c>
      <c r="I25" s="308" t="s">
        <v>204</v>
      </c>
      <c r="J25" s="229" t="s">
        <v>2780</v>
      </c>
      <c r="K25" s="226">
        <v>44404</v>
      </c>
      <c r="L25" s="226">
        <v>44404</v>
      </c>
      <c r="M25" s="226">
        <f>IFERROR(IF(VLOOKUP(功能_33[[#This Row],[功能代號]],討論項目!A:H,8,FALSE)=0,"",VLOOKUP(功能_33[[#This Row],[功能代號]],討論項目!A:H,8,FALSE)),"")</f>
        <v>44431</v>
      </c>
      <c r="N25" s="308" t="s">
        <v>10</v>
      </c>
      <c r="O25" s="308" t="s">
        <v>13</v>
      </c>
      <c r="T25" s="308"/>
      <c r="V25" s="308"/>
      <c r="W25" s="308"/>
      <c r="X25" s="307" t="str">
        <f>VLOOKUP(功能_33[[#This Row],[User]],SKL放款!A:G,7,FALSE)</f>
        <v>放款推展課</v>
      </c>
      <c r="Y25" s="228">
        <f>IF(功能_33[[#This Row],[實際展示]]="","",功能_33[[#This Row],[實際展示]]+14)</f>
        <v>44418</v>
      </c>
      <c r="Z25" s="226" t="s">
        <v>213</v>
      </c>
      <c r="AA25" s="226"/>
      <c r="AB25" s="226"/>
      <c r="AC25" s="226"/>
      <c r="AD25" s="226"/>
      <c r="AE25" s="226"/>
      <c r="AF25" s="355"/>
      <c r="AG25" s="226" t="str">
        <f>IFERROR(IF(VLOOKUP(功能_33[[#This Row],[功能代號]],E:Q,11,FALSE)=0,"",VLOOKUP(功能_33[[#This Row],[功能代號]],E:Q,11,FALSE)),"")</f>
        <v>李珮君</v>
      </c>
      <c r="AH25" s="226"/>
      <c r="AI25" s="226"/>
      <c r="AJ25" s="307"/>
      <c r="AL25" s="308">
        <v>204</v>
      </c>
      <c r="AM25" s="307" t="s">
        <v>229</v>
      </c>
      <c r="AN25" s="307" t="str">
        <f>VLOOKUP(功能_33[[#This Row],[功能代號]],工作表2!B:B,1,FALSE)</f>
        <v>L2015</v>
      </c>
    </row>
    <row r="26" spans="1:40" ht="14.25" hidden="1" customHeight="1">
      <c r="A26" s="224">
        <v>21</v>
      </c>
      <c r="B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07" t="s">
        <v>102</v>
      </c>
      <c r="D26" s="307"/>
      <c r="E26" s="308" t="s">
        <v>230</v>
      </c>
      <c r="F26" s="307" t="s">
        <v>231</v>
      </c>
      <c r="G26" s="307"/>
      <c r="H26" s="308" t="s">
        <v>203</v>
      </c>
      <c r="I26" s="308" t="s">
        <v>204</v>
      </c>
      <c r="J26" s="229" t="s">
        <v>2780</v>
      </c>
      <c r="K26" s="226">
        <v>44404</v>
      </c>
      <c r="L26" s="226">
        <v>44404</v>
      </c>
      <c r="M26" s="226">
        <f>IFERROR(IF(VLOOKUP(功能_33[[#This Row],[功能代號]],討論項目!A:H,8,FALSE)=0,"",VLOOKUP(功能_33[[#This Row],[功能代號]],討論項目!A:H,8,FALSE)),"")</f>
        <v>44469</v>
      </c>
      <c r="N26" s="308" t="s">
        <v>10</v>
      </c>
      <c r="O26" s="308" t="s">
        <v>13</v>
      </c>
      <c r="T26" s="308"/>
      <c r="V26" s="308"/>
      <c r="W26" s="308"/>
      <c r="X26" s="307" t="str">
        <f>VLOOKUP(功能_33[[#This Row],[User]],SKL放款!A:G,7,FALSE)</f>
        <v>放款推展課</v>
      </c>
      <c r="Y26" s="228">
        <f>IF(功能_33[[#This Row],[實際展示]]="","",功能_33[[#This Row],[實際展示]]+14)</f>
        <v>44418</v>
      </c>
      <c r="Z26" s="226">
        <v>44470</v>
      </c>
      <c r="AA26" s="226">
        <f>IF(功能_33[[#This Row],[URS交二審]]=0,"",功能_33[[#This Row],[URS交二審]]+7)</f>
        <v>44477</v>
      </c>
      <c r="AB26" s="226">
        <f>IF(功能_33[[#This Row],[URS交二審]]=0,"",功能_33[[#This Row],[URS交二審]]+7)</f>
        <v>44477</v>
      </c>
      <c r="AC26" s="226"/>
      <c r="AD26" s="226" t="s">
        <v>198</v>
      </c>
      <c r="AE26" s="226"/>
      <c r="AF26" s="355"/>
      <c r="AG26" s="226" t="str">
        <f>IFERROR(IF(VLOOKUP(功能_33[[#This Row],[功能代號]],E:Q,11,FALSE)=0,"",VLOOKUP(功能_33[[#This Row],[功能代號]],E:Q,11,FALSE)),"")</f>
        <v>李珮君</v>
      </c>
      <c r="AH26" s="226"/>
      <c r="AI26" s="226"/>
      <c r="AJ26" s="307"/>
      <c r="AL26" s="308">
        <v>204</v>
      </c>
      <c r="AM26" s="307" t="s">
        <v>232</v>
      </c>
      <c r="AN26" s="307" t="str">
        <f>VLOOKUP(功能_33[[#This Row],[功能代號]],工作表2!B:B,1,FALSE)</f>
        <v>L2154</v>
      </c>
    </row>
    <row r="27" spans="1:40" ht="14.25" hidden="1" customHeight="1">
      <c r="A27" s="224">
        <v>22</v>
      </c>
      <c r="B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07" t="s">
        <v>102</v>
      </c>
      <c r="D27" s="307"/>
      <c r="E27" s="308" t="s">
        <v>233</v>
      </c>
      <c r="F27" s="307" t="s">
        <v>234</v>
      </c>
      <c r="G27" s="307"/>
      <c r="H27" s="308" t="s">
        <v>203</v>
      </c>
      <c r="I27" s="308" t="s">
        <v>204</v>
      </c>
      <c r="J27" s="229" t="s">
        <v>2780</v>
      </c>
      <c r="K27" s="226">
        <v>44404</v>
      </c>
      <c r="L27" s="226">
        <v>44404</v>
      </c>
      <c r="M27" s="226">
        <f>IFERROR(IF(VLOOKUP(功能_33[[#This Row],[功能代號]],討論項目!A:H,8,FALSE)=0,"",VLOOKUP(功能_33[[#This Row],[功能代號]],討論項目!A:H,8,FALSE)),"")</f>
        <v>44431</v>
      </c>
      <c r="N27" s="308" t="s">
        <v>10</v>
      </c>
      <c r="O27" s="308" t="s">
        <v>13</v>
      </c>
      <c r="T27" s="308"/>
      <c r="V27" s="308"/>
      <c r="W27" s="308"/>
      <c r="X27" s="307" t="str">
        <f>VLOOKUP(功能_33[[#This Row],[User]],SKL放款!A:G,7,FALSE)</f>
        <v>放款推展課</v>
      </c>
      <c r="Y27" s="228">
        <f>IF(功能_33[[#This Row],[實際展示]]="","",功能_33[[#This Row],[實際展示]]+14)</f>
        <v>44418</v>
      </c>
      <c r="Z27" s="226" t="s">
        <v>213</v>
      </c>
      <c r="AA27" s="226"/>
      <c r="AB27" s="226"/>
      <c r="AC27" s="226"/>
      <c r="AD27" s="226"/>
      <c r="AE27" s="226"/>
      <c r="AF27" s="355"/>
      <c r="AG27" s="226" t="str">
        <f>IFERROR(IF(VLOOKUP(功能_33[[#This Row],[功能代號]],E:Q,11,FALSE)=0,"",VLOOKUP(功能_33[[#This Row],[功能代號]],E:Q,11,FALSE)),"")</f>
        <v>李珮君</v>
      </c>
      <c r="AH27" s="226"/>
      <c r="AI27" s="226"/>
      <c r="AJ27" s="307"/>
      <c r="AL27" s="308">
        <v>204</v>
      </c>
      <c r="AM27" s="307" t="s">
        <v>235</v>
      </c>
      <c r="AN27" s="307" t="str">
        <f>VLOOKUP(功能_33[[#This Row],[功能代號]],工作表2!B:B,1,FALSE)</f>
        <v>L2016</v>
      </c>
    </row>
    <row r="28" spans="1:40" ht="14.25" hidden="1" customHeight="1">
      <c r="A28" s="224">
        <v>27</v>
      </c>
      <c r="B28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07" t="s">
        <v>102</v>
      </c>
      <c r="D28" s="307" t="s">
        <v>236</v>
      </c>
      <c r="E28" s="308" t="s">
        <v>237</v>
      </c>
      <c r="F28" s="307" t="s">
        <v>238</v>
      </c>
      <c r="G28" s="307"/>
      <c r="H28" s="308" t="s">
        <v>203</v>
      </c>
      <c r="I28" s="308" t="s">
        <v>239</v>
      </c>
      <c r="J28" s="229" t="s">
        <v>209</v>
      </c>
      <c r="K28" s="226">
        <v>44404</v>
      </c>
      <c r="L28" s="226">
        <v>44405</v>
      </c>
      <c r="M28" s="226">
        <f>IFERROR(IF(VLOOKUP(功能_33[[#This Row],[功能代號]],討論項目!A:H,8,FALSE)=0,"",VLOOKUP(功能_33[[#This Row],[功能代號]],討論項目!A:H,8,FALSE)),"")</f>
        <v>44428</v>
      </c>
      <c r="N28" s="308" t="s">
        <v>10</v>
      </c>
      <c r="O28" s="308" t="s">
        <v>13</v>
      </c>
      <c r="P28" s="277" t="s">
        <v>240</v>
      </c>
      <c r="T28" s="308"/>
      <c r="V28" s="308"/>
      <c r="W28" s="308"/>
      <c r="X28" s="307" t="str">
        <f>VLOOKUP(功能_33[[#This Row],[User]],SKL放款!A:G,7,FALSE)</f>
        <v>放款推展課</v>
      </c>
      <c r="Y28" s="228">
        <f>IF(功能_33[[#This Row],[實際展示]]="","",功能_33[[#This Row],[實際展示]]+14)</f>
        <v>44419</v>
      </c>
      <c r="Z28" s="226">
        <v>44470</v>
      </c>
      <c r="AA28" s="226">
        <f>IF(功能_33[[#This Row],[URS交二審]]=0,"",功能_33[[#This Row],[URS交二審]]+7)</f>
        <v>44477</v>
      </c>
      <c r="AB28" s="226">
        <f>IF(功能_33[[#This Row],[URS交二審]]=0,"",功能_33[[#This Row],[URS交二審]]+7)</f>
        <v>44477</v>
      </c>
      <c r="AC28" s="226"/>
      <c r="AD28" s="226" t="s">
        <v>198</v>
      </c>
      <c r="AE28" s="226"/>
      <c r="AF28" s="355"/>
      <c r="AG28" s="226" t="str">
        <f>IFERROR(IF(VLOOKUP(功能_33[[#This Row],[功能代號]],E:Q,11,FALSE)=0,"",VLOOKUP(功能_33[[#This Row],[功能代號]],E:Q,11,FALSE)),"")</f>
        <v>李珮君</v>
      </c>
      <c r="AH28" s="226"/>
      <c r="AI28" s="226"/>
      <c r="AJ28" s="307"/>
      <c r="AL28" s="308">
        <v>206</v>
      </c>
      <c r="AM28" s="307" t="s">
        <v>241</v>
      </c>
      <c r="AN28" s="307" t="str">
        <f>VLOOKUP(功能_33[[#This Row],[功能代號]],工作表2!B:B,1,FALSE)</f>
        <v>L2020</v>
      </c>
    </row>
    <row r="29" spans="1:40" ht="14.25" hidden="1" customHeight="1">
      <c r="A29" s="224">
        <v>28</v>
      </c>
      <c r="B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07" t="s">
        <v>102</v>
      </c>
      <c r="D29" s="307" t="s">
        <v>236</v>
      </c>
      <c r="E29" s="308" t="s">
        <v>242</v>
      </c>
      <c r="F29" s="307" t="s">
        <v>243</v>
      </c>
      <c r="G29" s="307"/>
      <c r="H29" s="308" t="s">
        <v>203</v>
      </c>
      <c r="I29" s="308" t="s">
        <v>239</v>
      </c>
      <c r="J29" s="229" t="s">
        <v>209</v>
      </c>
      <c r="K29" s="226">
        <v>44404</v>
      </c>
      <c r="L29" s="226">
        <v>44405</v>
      </c>
      <c r="M29" s="226">
        <f>IFERROR(IF(VLOOKUP(功能_33[[#This Row],[功能代號]],討論項目!A:H,8,FALSE)=0,"",VLOOKUP(功能_33[[#This Row],[功能代號]],討論項目!A:H,8,FALSE)),"")</f>
        <v>44428</v>
      </c>
      <c r="N29" s="308" t="s">
        <v>10</v>
      </c>
      <c r="O29" s="308" t="s">
        <v>13</v>
      </c>
      <c r="P29" s="277" t="s">
        <v>240</v>
      </c>
      <c r="T29" s="308"/>
      <c r="V29" s="308"/>
      <c r="W29" s="308"/>
      <c r="X29" s="307" t="str">
        <f>VLOOKUP(功能_33[[#This Row],[User]],SKL放款!A:G,7,FALSE)</f>
        <v>放款推展課</v>
      </c>
      <c r="Y29" s="228">
        <f>IF(功能_33[[#This Row],[實際展示]]="","",功能_33[[#This Row],[實際展示]]+14)</f>
        <v>44419</v>
      </c>
      <c r="Z29" s="226">
        <v>44470</v>
      </c>
      <c r="AA29" s="226">
        <f>IF(功能_33[[#This Row],[URS交二審]]=0,"",功能_33[[#This Row],[URS交二審]]+7)</f>
        <v>44477</v>
      </c>
      <c r="AB29" s="226">
        <f>IF(功能_33[[#This Row],[URS交二審]]=0,"",功能_33[[#This Row],[URS交二審]]+7)</f>
        <v>44477</v>
      </c>
      <c r="AC29" s="226"/>
      <c r="AD29" s="226" t="s">
        <v>198</v>
      </c>
      <c r="AE29" s="226"/>
      <c r="AF29" s="355"/>
      <c r="AG29" s="226" t="str">
        <f>IFERROR(IF(VLOOKUP(功能_33[[#This Row],[功能代號]],E:Q,11,FALSE)=0,"",VLOOKUP(功能_33[[#This Row],[功能代號]],E:Q,11,FALSE)),"")</f>
        <v>李珮君</v>
      </c>
      <c r="AH29" s="226"/>
      <c r="AI29" s="226"/>
      <c r="AJ29" s="307"/>
      <c r="AL29" s="308">
        <v>206</v>
      </c>
      <c r="AM29" s="307" t="s">
        <v>243</v>
      </c>
      <c r="AN29" s="307" t="str">
        <f>VLOOKUP(功能_33[[#This Row],[功能代號]],工作表2!B:B,1,FALSE)</f>
        <v>L2250</v>
      </c>
    </row>
    <row r="30" spans="1:40" ht="14.25" hidden="1" customHeight="1">
      <c r="A30" s="224">
        <v>29</v>
      </c>
      <c r="B30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07" t="s">
        <v>102</v>
      </c>
      <c r="D30" s="307" t="s">
        <v>236</v>
      </c>
      <c r="E30" s="308" t="s">
        <v>244</v>
      </c>
      <c r="F30" s="307" t="s">
        <v>245</v>
      </c>
      <c r="G30" s="307"/>
      <c r="H30" s="308" t="s">
        <v>203</v>
      </c>
      <c r="I30" s="308" t="s">
        <v>239</v>
      </c>
      <c r="J30" s="229" t="s">
        <v>209</v>
      </c>
      <c r="K30" s="226">
        <v>44404</v>
      </c>
      <c r="L30" s="226">
        <v>44405</v>
      </c>
      <c r="M30" s="226">
        <f>IFERROR(IF(VLOOKUP(功能_33[[#This Row],[功能代號]],討論項目!A:H,8,FALSE)=0,"",VLOOKUP(功能_33[[#This Row],[功能代號]],討論項目!A:H,8,FALSE)),"")</f>
        <v>44428</v>
      </c>
      <c r="N30" s="308" t="s">
        <v>10</v>
      </c>
      <c r="O30" s="308" t="s">
        <v>180</v>
      </c>
      <c r="T30" s="308"/>
      <c r="V30" s="308"/>
      <c r="W30" s="308"/>
      <c r="X30" s="307" t="str">
        <f>VLOOKUP(功能_33[[#This Row],[User]],SKL放款!A:G,7,FALSE)</f>
        <v>放款服務課</v>
      </c>
      <c r="Y30" s="228">
        <f>IF(功能_33[[#This Row],[實際展示]]="","",功能_33[[#This Row],[實際展示]]+14)</f>
        <v>44419</v>
      </c>
      <c r="Z30" s="226">
        <v>44470</v>
      </c>
      <c r="AA30" s="226">
        <f>IF(功能_33[[#This Row],[URS交二審]]=0,"",功能_33[[#This Row],[URS交二審]]+7)</f>
        <v>44477</v>
      </c>
      <c r="AB30" s="226">
        <f>IF(功能_33[[#This Row],[URS交二審]]=0,"",功能_33[[#This Row],[URS交二審]]+7)</f>
        <v>44477</v>
      </c>
      <c r="AC30" s="226"/>
      <c r="AD30" s="226" t="s">
        <v>198</v>
      </c>
      <c r="AE30" s="226"/>
      <c r="AF30" s="355"/>
      <c r="AG30" s="226" t="str">
        <f>IFERROR(IF(VLOOKUP(功能_33[[#This Row],[功能代號]],E:Q,11,FALSE)=0,"",VLOOKUP(功能_33[[#This Row],[功能代號]],E:Q,11,FALSE)),"")</f>
        <v>陳政皓</v>
      </c>
      <c r="AH30" s="226"/>
      <c r="AI30" s="226"/>
      <c r="AJ30" s="307"/>
      <c r="AL30" s="308">
        <v>214</v>
      </c>
      <c r="AM30" s="307" t="s">
        <v>246</v>
      </c>
      <c r="AN30" s="307" t="str">
        <f>VLOOKUP(功能_33[[#This Row],[功能代號]],工作表2!B:B,1,FALSE)</f>
        <v>L2902</v>
      </c>
    </row>
    <row r="31" spans="1:40" ht="14.25" hidden="1" customHeight="1">
      <c r="A31" s="224">
        <v>23</v>
      </c>
      <c r="B31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07" t="s">
        <v>102</v>
      </c>
      <c r="D31" s="307"/>
      <c r="E31" s="308" t="s">
        <v>247</v>
      </c>
      <c r="F31" s="307" t="s">
        <v>248</v>
      </c>
      <c r="G31" s="307"/>
      <c r="H31" s="308" t="s">
        <v>203</v>
      </c>
      <c r="I31" s="308" t="s">
        <v>239</v>
      </c>
      <c r="J31" s="229"/>
      <c r="K31" s="226">
        <v>44404</v>
      </c>
      <c r="L31" s="226">
        <v>44404</v>
      </c>
      <c r="M31" s="226" t="str">
        <f>IFERROR(IF(VLOOKUP(功能_33[[#This Row],[功能代號]],討論項目!A:H,8,FALSE)=0,"",VLOOKUP(功能_33[[#This Row],[功能代號]],討論項目!A:H,8,FALSE)),"")</f>
        <v/>
      </c>
      <c r="N31" s="308" t="s">
        <v>12</v>
      </c>
      <c r="O31" s="308" t="s">
        <v>249</v>
      </c>
      <c r="P31" s="277" t="s">
        <v>26</v>
      </c>
      <c r="T31" s="308"/>
      <c r="V31" s="308"/>
      <c r="W31" s="308"/>
      <c r="X31" s="307" t="str">
        <f>VLOOKUP(功能_33[[#This Row],[User]],SKL放款!A:G,7,FALSE)</f>
        <v>放款審查課</v>
      </c>
      <c r="Y31" s="228">
        <f>IF(功能_33[[#This Row],[實際展示]]="","",功能_33[[#This Row],[實際展示]]+14)</f>
        <v>44418</v>
      </c>
      <c r="Z31" s="226" t="s">
        <v>2809</v>
      </c>
      <c r="AA31" s="226"/>
      <c r="AB31" s="226"/>
      <c r="AC31" s="226"/>
      <c r="AD31" s="226"/>
      <c r="AE31" s="226"/>
      <c r="AF31" s="355"/>
      <c r="AG31" s="226" t="str">
        <f>IFERROR(IF(VLOOKUP(功能_33[[#This Row],[功能代號]],E:Q,11,FALSE)=0,"",VLOOKUP(功能_33[[#This Row],[功能代號]],E:Q,11,FALSE)),"")</f>
        <v>徐名弘</v>
      </c>
      <c r="AH31" s="226"/>
      <c r="AI31" s="226"/>
      <c r="AJ31" s="307"/>
      <c r="AK31" s="307"/>
      <c r="AN31" s="307" t="e">
        <f>VLOOKUP(功能_33[[#This Row],[功能代號]],工作表2!B:B,1,FALSE)</f>
        <v>#N/A</v>
      </c>
    </row>
    <row r="32" spans="1:40" ht="14.25" hidden="1" customHeight="1">
      <c r="A32" s="224">
        <v>24</v>
      </c>
      <c r="B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07" t="s">
        <v>102</v>
      </c>
      <c r="D32" s="307"/>
      <c r="E32" s="308" t="s">
        <v>250</v>
      </c>
      <c r="F32" s="307" t="s">
        <v>251</v>
      </c>
      <c r="G32" s="307"/>
      <c r="H32" s="308" t="s">
        <v>203</v>
      </c>
      <c r="I32" s="308" t="s">
        <v>239</v>
      </c>
      <c r="J32" s="229"/>
      <c r="K32" s="226">
        <v>44404</v>
      </c>
      <c r="L32" s="226">
        <v>44404</v>
      </c>
      <c r="M32" s="226">
        <f>IFERROR(IF(VLOOKUP(功能_33[[#This Row],[功能代號]],討論項目!A:H,8,FALSE)=0,"",VLOOKUP(功能_33[[#This Row],[功能代號]],討論項目!A:H,8,FALSE)),"")</f>
        <v>44428</v>
      </c>
      <c r="N32" s="308" t="s">
        <v>12</v>
      </c>
      <c r="O32" s="308" t="s">
        <v>249</v>
      </c>
      <c r="P32" s="277" t="s">
        <v>26</v>
      </c>
      <c r="T32" s="308"/>
      <c r="V32" s="308"/>
      <c r="W32" s="308"/>
      <c r="X32" s="307" t="str">
        <f>VLOOKUP(功能_33[[#This Row],[User]],SKL放款!A:G,7,FALSE)</f>
        <v>放款審查課</v>
      </c>
      <c r="Y32" s="228">
        <f>IF(功能_33[[#This Row],[實際展示]]="","",功能_33[[#This Row],[實際展示]]+14)</f>
        <v>44418</v>
      </c>
      <c r="Z32" s="226" t="s">
        <v>213</v>
      </c>
      <c r="AA32" s="226"/>
      <c r="AB32" s="226"/>
      <c r="AC32" s="226"/>
      <c r="AD32" s="226"/>
      <c r="AE32" s="226"/>
      <c r="AF32" s="355"/>
      <c r="AG32" s="226" t="str">
        <f>IFERROR(IF(VLOOKUP(功能_33[[#This Row],[功能代號]],E:Q,11,FALSE)=0,"",VLOOKUP(功能_33[[#This Row],[功能代號]],E:Q,11,FALSE)),"")</f>
        <v>徐名弘</v>
      </c>
      <c r="AH32" s="226"/>
      <c r="AI32" s="226"/>
      <c r="AJ32" s="307"/>
      <c r="AK32" s="307"/>
      <c r="AN32" s="307" t="str">
        <f>VLOOKUP(功能_33[[#This Row],[功能代號]],工作表2!B:B,1,FALSE)</f>
        <v>L6700</v>
      </c>
    </row>
    <row r="33" spans="1:40" ht="14.25" hidden="1" customHeight="1">
      <c r="A33" s="224">
        <v>25</v>
      </c>
      <c r="B33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07" t="s">
        <v>102</v>
      </c>
      <c r="D33" s="307"/>
      <c r="E33" s="308" t="s">
        <v>252</v>
      </c>
      <c r="F33" s="307" t="s">
        <v>253</v>
      </c>
      <c r="G33" s="307"/>
      <c r="H33" s="308" t="s">
        <v>203</v>
      </c>
      <c r="I33" s="308" t="s">
        <v>239</v>
      </c>
      <c r="J33" s="229" t="s">
        <v>209</v>
      </c>
      <c r="K33" s="226">
        <v>44404</v>
      </c>
      <c r="L33" s="226">
        <v>44405</v>
      </c>
      <c r="M33" s="226">
        <f>IFERROR(IF(VLOOKUP(功能_33[[#This Row],[功能代號]],討論項目!A:H,8,FALSE)=0,"",VLOOKUP(功能_33[[#This Row],[功能代號]],討論項目!A:H,8,FALSE)),"")</f>
        <v>44428</v>
      </c>
      <c r="N33" s="308" t="s">
        <v>12</v>
      </c>
      <c r="O33" s="308" t="s">
        <v>249</v>
      </c>
      <c r="P33" s="277" t="s">
        <v>26</v>
      </c>
      <c r="T33" s="308"/>
      <c r="V33" s="308"/>
      <c r="W33" s="308"/>
      <c r="X33" s="307" t="str">
        <f>VLOOKUP(功能_33[[#This Row],[User]],SKL放款!A:G,7,FALSE)</f>
        <v>放款審查課</v>
      </c>
      <c r="Y33" s="228">
        <f>IF(功能_33[[#This Row],[實際展示]]="","",功能_33[[#This Row],[實際展示]]+14)</f>
        <v>44419</v>
      </c>
      <c r="Z33" s="226">
        <v>44470</v>
      </c>
      <c r="AA33" s="226">
        <f>IF(功能_33[[#This Row],[URS交二審]]=0,"",功能_33[[#This Row],[URS交二審]]+7)</f>
        <v>44477</v>
      </c>
      <c r="AB33" s="226">
        <f>IF(功能_33[[#This Row],[URS交二審]]=0,"",功能_33[[#This Row],[URS交二審]]+7)</f>
        <v>44477</v>
      </c>
      <c r="AC33" s="226"/>
      <c r="AD33" s="226" t="s">
        <v>198</v>
      </c>
      <c r="AE33" s="226"/>
      <c r="AF33" s="355"/>
      <c r="AG33" s="226" t="str">
        <f>IFERROR(IF(VLOOKUP(功能_33[[#This Row],[功能代號]],E:Q,11,FALSE)=0,"",VLOOKUP(功能_33[[#This Row],[功能代號]],E:Q,11,FALSE)),"")</f>
        <v>徐名弘</v>
      </c>
      <c r="AH33" s="226"/>
      <c r="AI33" s="226"/>
      <c r="AJ33" s="307"/>
      <c r="AL33" s="308">
        <v>213</v>
      </c>
      <c r="AM33" s="307" t="s">
        <v>254</v>
      </c>
      <c r="AN33" s="307" t="str">
        <f>VLOOKUP(功能_33[[#This Row],[功能代號]],工作表2!B:B,1,FALSE)</f>
        <v>L2921</v>
      </c>
    </row>
    <row r="34" spans="1:40" ht="14.25" hidden="1" customHeight="1">
      <c r="A34" s="224">
        <v>26</v>
      </c>
      <c r="B3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07" t="s">
        <v>102</v>
      </c>
      <c r="D34" s="307"/>
      <c r="E34" s="308" t="s">
        <v>255</v>
      </c>
      <c r="F34" s="307" t="s">
        <v>256</v>
      </c>
      <c r="G34" s="307"/>
      <c r="H34" s="308" t="s">
        <v>203</v>
      </c>
      <c r="I34" s="308" t="s">
        <v>239</v>
      </c>
      <c r="J34" s="229" t="s">
        <v>209</v>
      </c>
      <c r="K34" s="226">
        <v>44404</v>
      </c>
      <c r="L34" s="226">
        <v>44405</v>
      </c>
      <c r="M34" s="226">
        <f>IFERROR(IF(VLOOKUP(功能_33[[#This Row],[功能代號]],討論項目!A:H,8,FALSE)=0,"",VLOOKUP(功能_33[[#This Row],[功能代號]],討論項目!A:H,8,FALSE)),"")</f>
        <v>44428</v>
      </c>
      <c r="N34" s="308" t="s">
        <v>12</v>
      </c>
      <c r="O34" s="308" t="s">
        <v>249</v>
      </c>
      <c r="P34" s="277" t="s">
        <v>26</v>
      </c>
      <c r="T34" s="308"/>
      <c r="V34" s="308"/>
      <c r="W34" s="308"/>
      <c r="X34" s="307" t="str">
        <f>VLOOKUP(功能_33[[#This Row],[User]],SKL放款!A:G,7,FALSE)</f>
        <v>放款審查課</v>
      </c>
      <c r="Y34" s="228">
        <f>IF(功能_33[[#This Row],[實際展示]]="","",功能_33[[#This Row],[實際展示]]+14)</f>
        <v>44419</v>
      </c>
      <c r="Z34" s="226">
        <v>44470</v>
      </c>
      <c r="AA34" s="226">
        <f>IF(功能_33[[#This Row],[URS交二審]]=0,"",功能_33[[#This Row],[URS交二審]]+7)</f>
        <v>44477</v>
      </c>
      <c r="AB34" s="226">
        <f>IF(功能_33[[#This Row],[URS交二審]]=0,"",功能_33[[#This Row],[URS交二審]]+7)</f>
        <v>44477</v>
      </c>
      <c r="AC34" s="226"/>
      <c r="AD34" s="226" t="s">
        <v>198</v>
      </c>
      <c r="AE34" s="226"/>
      <c r="AF34" s="355"/>
      <c r="AG34" s="226" t="str">
        <f>IFERROR(IF(VLOOKUP(功能_33[[#This Row],[功能代號]],E:Q,11,FALSE)=0,"",VLOOKUP(功能_33[[#This Row],[功能代號]],E:Q,11,FALSE)),"")</f>
        <v>徐名弘</v>
      </c>
      <c r="AH34" s="226"/>
      <c r="AI34" s="226"/>
      <c r="AJ34" s="307"/>
      <c r="AL34" s="308">
        <v>355</v>
      </c>
      <c r="AM34" s="307" t="s">
        <v>257</v>
      </c>
      <c r="AN34" s="307" t="str">
        <f>VLOOKUP(功能_33[[#This Row],[功能代號]],工作表2!B:B,1,FALSE)</f>
        <v>L2801</v>
      </c>
    </row>
    <row r="35" spans="1:40" ht="14.25" hidden="1" customHeight="1">
      <c r="A35" s="224">
        <v>32</v>
      </c>
      <c r="B35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07" t="s">
        <v>102</v>
      </c>
      <c r="D35" s="230"/>
      <c r="E35" s="308" t="s">
        <v>258</v>
      </c>
      <c r="F35" s="307" t="s">
        <v>259</v>
      </c>
      <c r="G35" s="307"/>
      <c r="H35" s="308" t="s">
        <v>203</v>
      </c>
      <c r="I35" s="308" t="s">
        <v>204</v>
      </c>
      <c r="J35" s="229" t="s">
        <v>2780</v>
      </c>
      <c r="K35" s="226">
        <v>44431</v>
      </c>
      <c r="L35" s="226">
        <v>44431</v>
      </c>
      <c r="M35" s="226" t="str">
        <f>IFERROR(IF(VLOOKUP(功能_33[[#This Row],[功能代號]],討論項目!A:H,8,FALSE)=0,"",VLOOKUP(功能_33[[#This Row],[功能代號]],討論項目!A:H,8,FALSE)),"")</f>
        <v/>
      </c>
      <c r="N35" s="308" t="s">
        <v>7</v>
      </c>
      <c r="O35" s="308" t="s">
        <v>13</v>
      </c>
      <c r="P35" s="277" t="s">
        <v>240</v>
      </c>
      <c r="T35" s="308"/>
      <c r="V35" s="308"/>
      <c r="W35" s="308"/>
      <c r="X35" s="307" t="str">
        <f>VLOOKUP(功能_33[[#This Row],[User]],SKL放款!A:G,7,FALSE)</f>
        <v>放款推展課</v>
      </c>
      <c r="Y35" s="228">
        <f>IF(功能_33[[#This Row],[實際展示]]="","",功能_33[[#This Row],[實際展示]]+14)</f>
        <v>44445</v>
      </c>
      <c r="Z35" s="226" t="s">
        <v>205</v>
      </c>
      <c r="AA35" s="226">
        <v>44477</v>
      </c>
      <c r="AB35" s="226">
        <v>44477</v>
      </c>
      <c r="AC35" s="226"/>
      <c r="AD35" s="226" t="s">
        <v>198</v>
      </c>
      <c r="AE35" s="226"/>
      <c r="AF35" s="355"/>
      <c r="AG35" s="226" t="str">
        <f>IFERROR(IF(VLOOKUP(功能_33[[#This Row],[功能代號]],E:Q,11,FALSE)=0,"",VLOOKUP(功能_33[[#This Row],[功能代號]],E:Q,11,FALSE)),"")</f>
        <v>李珮君</v>
      </c>
      <c r="AH35" s="226"/>
      <c r="AI35" s="226"/>
      <c r="AJ35" s="307"/>
      <c r="AL35" s="308" t="s">
        <v>199</v>
      </c>
      <c r="AM35" s="308" t="s">
        <v>199</v>
      </c>
      <c r="AN35" s="307" t="e">
        <f>VLOOKUP(功能_33[[#This Row],[功能代號]],工作表2!B:B,1,FALSE)</f>
        <v>#N/A</v>
      </c>
    </row>
    <row r="36" spans="1:40" ht="14.25" hidden="1" customHeight="1">
      <c r="A36" s="224">
        <v>33</v>
      </c>
      <c r="B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07" t="s">
        <v>102</v>
      </c>
      <c r="D36" s="230"/>
      <c r="E36" s="308" t="s">
        <v>260</v>
      </c>
      <c r="F36" s="307" t="s">
        <v>261</v>
      </c>
      <c r="G36" s="307"/>
      <c r="H36" s="308" t="s">
        <v>203</v>
      </c>
      <c r="I36" s="308" t="s">
        <v>204</v>
      </c>
      <c r="J36" s="229" t="s">
        <v>2780</v>
      </c>
      <c r="K36" s="226">
        <v>44431</v>
      </c>
      <c r="L36" s="226">
        <v>44431</v>
      </c>
      <c r="M36" s="226" t="str">
        <f>IFERROR(IF(VLOOKUP(功能_33[[#This Row],[功能代號]],討論項目!A:H,8,FALSE)=0,"",VLOOKUP(功能_33[[#This Row],[功能代號]],討論項目!A:H,8,FALSE)),"")</f>
        <v/>
      </c>
      <c r="N36" s="308" t="s">
        <v>7</v>
      </c>
      <c r="O36" s="308" t="s">
        <v>13</v>
      </c>
      <c r="P36" s="277" t="s">
        <v>240</v>
      </c>
      <c r="T36" s="308"/>
      <c r="V36" s="308"/>
      <c r="W36" s="308"/>
      <c r="X36" s="307" t="str">
        <f>VLOOKUP(功能_33[[#This Row],[User]],SKL放款!A:G,7,FALSE)</f>
        <v>放款推展課</v>
      </c>
      <c r="Y36" s="228">
        <f>IF(功能_33[[#This Row],[實際展示]]="","",功能_33[[#This Row],[實際展示]]+14)</f>
        <v>44445</v>
      </c>
      <c r="Z36" s="226" t="s">
        <v>205</v>
      </c>
      <c r="AA36" s="226">
        <v>44477</v>
      </c>
      <c r="AB36" s="226">
        <v>44477</v>
      </c>
      <c r="AC36" s="226"/>
      <c r="AD36" s="226" t="s">
        <v>198</v>
      </c>
      <c r="AE36" s="226"/>
      <c r="AF36" s="355"/>
      <c r="AG36" s="226" t="str">
        <f>IFERROR(IF(VLOOKUP(功能_33[[#This Row],[功能代號]],E:Q,11,FALSE)=0,"",VLOOKUP(功能_33[[#This Row],[功能代號]],E:Q,11,FALSE)),"")</f>
        <v>李珮君</v>
      </c>
      <c r="AH36" s="226"/>
      <c r="AI36" s="226"/>
      <c r="AJ36" s="307"/>
      <c r="AL36" s="308" t="s">
        <v>199</v>
      </c>
      <c r="AM36" s="308" t="s">
        <v>199</v>
      </c>
      <c r="AN36" s="307" t="e">
        <f>VLOOKUP(功能_33[[#This Row],[功能代號]],工作表2!B:B,1,FALSE)</f>
        <v>#N/A</v>
      </c>
    </row>
    <row r="37" spans="1:40" ht="14.25" hidden="1" customHeight="1">
      <c r="A37" s="224">
        <v>34</v>
      </c>
      <c r="B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07" t="s">
        <v>102</v>
      </c>
      <c r="D37" s="230"/>
      <c r="E37" s="308" t="s">
        <v>262</v>
      </c>
      <c r="F37" s="307" t="s">
        <v>263</v>
      </c>
      <c r="G37" s="307"/>
      <c r="H37" s="308" t="s">
        <v>203</v>
      </c>
      <c r="I37" s="308" t="s">
        <v>204</v>
      </c>
      <c r="J37" s="229" t="s">
        <v>2780</v>
      </c>
      <c r="K37" s="226">
        <v>44431</v>
      </c>
      <c r="L37" s="226">
        <v>44431</v>
      </c>
      <c r="M37" s="226" t="str">
        <f>IFERROR(IF(VLOOKUP(功能_33[[#This Row],[功能代號]],討論項目!A:H,8,FALSE)=0,"",VLOOKUP(功能_33[[#This Row],[功能代號]],討論項目!A:H,8,FALSE)),"")</f>
        <v/>
      </c>
      <c r="N37" s="308" t="s">
        <v>7</v>
      </c>
      <c r="O37" s="308" t="s">
        <v>13</v>
      </c>
      <c r="P37" s="277" t="s">
        <v>240</v>
      </c>
      <c r="T37" s="308"/>
      <c r="V37" s="308"/>
      <c r="W37" s="308"/>
      <c r="X37" s="307" t="str">
        <f>VLOOKUP(功能_33[[#This Row],[User]],SKL放款!A:G,7,FALSE)</f>
        <v>放款推展課</v>
      </c>
      <c r="Y37" s="228">
        <f>IF(功能_33[[#This Row],[實際展示]]="","",功能_33[[#This Row],[實際展示]]+14)</f>
        <v>44445</v>
      </c>
      <c r="Z37" s="226" t="s">
        <v>205</v>
      </c>
      <c r="AA37" s="226">
        <v>44477</v>
      </c>
      <c r="AB37" s="226">
        <v>44477</v>
      </c>
      <c r="AC37" s="226"/>
      <c r="AD37" s="226" t="s">
        <v>198</v>
      </c>
      <c r="AE37" s="226"/>
      <c r="AF37" s="355"/>
      <c r="AG37" s="226" t="str">
        <f>IFERROR(IF(VLOOKUP(功能_33[[#This Row],[功能代號]],E:Q,11,FALSE)=0,"",VLOOKUP(功能_33[[#This Row],[功能代號]],E:Q,11,FALSE)),"")</f>
        <v>李珮君</v>
      </c>
      <c r="AH37" s="226"/>
      <c r="AI37" s="226"/>
      <c r="AJ37" s="307"/>
      <c r="AL37" s="308" t="s">
        <v>199</v>
      </c>
      <c r="AM37" s="308" t="s">
        <v>199</v>
      </c>
      <c r="AN37" s="307" t="e">
        <f>VLOOKUP(功能_33[[#This Row],[功能代號]],工作表2!B:B,1,FALSE)</f>
        <v>#N/A</v>
      </c>
    </row>
    <row r="38" spans="1:40" ht="14.25" hidden="1" customHeight="1">
      <c r="A38" s="224">
        <v>35</v>
      </c>
      <c r="B38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07" t="s">
        <v>102</v>
      </c>
      <c r="D38" s="230"/>
      <c r="E38" s="308" t="s">
        <v>264</v>
      </c>
      <c r="F38" s="307" t="s">
        <v>265</v>
      </c>
      <c r="G38" s="307"/>
      <c r="H38" s="308" t="s">
        <v>203</v>
      </c>
      <c r="I38" s="308" t="s">
        <v>204</v>
      </c>
      <c r="J38" s="229" t="s">
        <v>2780</v>
      </c>
      <c r="K38" s="226">
        <v>44431</v>
      </c>
      <c r="L38" s="226">
        <v>44431</v>
      </c>
      <c r="M38" s="226" t="str">
        <f>IFERROR(IF(VLOOKUP(功能_33[[#This Row],[功能代號]],討論項目!A:H,8,FALSE)=0,"",VLOOKUP(功能_33[[#This Row],[功能代號]],討論項目!A:H,8,FALSE)),"")</f>
        <v/>
      </c>
      <c r="N38" s="308" t="s">
        <v>7</v>
      </c>
      <c r="O38" s="308" t="s">
        <v>13</v>
      </c>
      <c r="P38" s="277" t="s">
        <v>240</v>
      </c>
      <c r="T38" s="308"/>
      <c r="V38" s="308"/>
      <c r="W38" s="308"/>
      <c r="X38" s="307" t="str">
        <f>VLOOKUP(功能_33[[#This Row],[User]],SKL放款!A:G,7,FALSE)</f>
        <v>放款推展課</v>
      </c>
      <c r="Y38" s="228">
        <f>IF(功能_33[[#This Row],[實際展示]]="","",功能_33[[#This Row],[實際展示]]+14)</f>
        <v>44445</v>
      </c>
      <c r="Z38" s="226" t="s">
        <v>205</v>
      </c>
      <c r="AA38" s="226">
        <v>44477</v>
      </c>
      <c r="AB38" s="226">
        <v>44477</v>
      </c>
      <c r="AC38" s="226"/>
      <c r="AD38" s="226" t="s">
        <v>198</v>
      </c>
      <c r="AE38" s="226"/>
      <c r="AF38" s="355"/>
      <c r="AG38" s="226" t="str">
        <f>IFERROR(IF(VLOOKUP(功能_33[[#This Row],[功能代號]],E:Q,11,FALSE)=0,"",VLOOKUP(功能_33[[#This Row],[功能代號]],E:Q,11,FALSE)),"")</f>
        <v>李珮君</v>
      </c>
      <c r="AH38" s="226"/>
      <c r="AI38" s="226"/>
      <c r="AJ38" s="307"/>
      <c r="AL38" s="308" t="s">
        <v>199</v>
      </c>
      <c r="AM38" s="308" t="s">
        <v>199</v>
      </c>
      <c r="AN38" s="307" t="e">
        <f>VLOOKUP(功能_33[[#This Row],[功能代號]],工作表2!B:B,1,FALSE)</f>
        <v>#N/A</v>
      </c>
    </row>
    <row r="39" spans="1:40" ht="14.25" hidden="1" customHeight="1">
      <c r="A39" s="224">
        <v>36</v>
      </c>
      <c r="B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07" t="s">
        <v>102</v>
      </c>
      <c r="D39" s="230"/>
      <c r="E39" s="308" t="s">
        <v>266</v>
      </c>
      <c r="F39" s="307" t="s">
        <v>267</v>
      </c>
      <c r="G39" s="307"/>
      <c r="H39" s="308" t="s">
        <v>203</v>
      </c>
      <c r="I39" s="308" t="s">
        <v>204</v>
      </c>
      <c r="J39" s="229" t="s">
        <v>2780</v>
      </c>
      <c r="K39" s="226">
        <v>44431</v>
      </c>
      <c r="L39" s="226">
        <v>44431</v>
      </c>
      <c r="M39" s="226" t="str">
        <f>IFERROR(IF(VLOOKUP(功能_33[[#This Row],[功能代號]],討論項目!A:H,8,FALSE)=0,"",VLOOKUP(功能_33[[#This Row],[功能代號]],討論項目!A:H,8,FALSE)),"")</f>
        <v/>
      </c>
      <c r="N39" s="308" t="s">
        <v>7</v>
      </c>
      <c r="O39" s="308" t="s">
        <v>13</v>
      </c>
      <c r="P39" s="277" t="s">
        <v>2782</v>
      </c>
      <c r="T39" s="308"/>
      <c r="V39" s="308"/>
      <c r="W39" s="308"/>
      <c r="X39" s="307" t="str">
        <f>VLOOKUP(功能_33[[#This Row],[User]],SKL放款!A:G,7,FALSE)</f>
        <v>放款推展課</v>
      </c>
      <c r="Y39" s="228">
        <f>IF(功能_33[[#This Row],[實際展示]]="","",功能_33[[#This Row],[實際展示]]+14)</f>
        <v>44445</v>
      </c>
      <c r="Z39" s="226" t="s">
        <v>205</v>
      </c>
      <c r="AA39" s="226">
        <v>44477</v>
      </c>
      <c r="AB39" s="226">
        <v>44477</v>
      </c>
      <c r="AC39" s="226"/>
      <c r="AD39" s="226" t="s">
        <v>198</v>
      </c>
      <c r="AE39" s="226"/>
      <c r="AF39" s="355"/>
      <c r="AG39" s="226" t="str">
        <f>IFERROR(IF(VLOOKUP(功能_33[[#This Row],[功能代號]],E:Q,11,FALSE)=0,"",VLOOKUP(功能_33[[#This Row],[功能代號]],E:Q,11,FALSE)),"")</f>
        <v>李珮君</v>
      </c>
      <c r="AH39" s="226"/>
      <c r="AI39" s="226"/>
      <c r="AJ39" s="307"/>
      <c r="AL39" s="308" t="s">
        <v>199</v>
      </c>
      <c r="AM39" s="308" t="s">
        <v>199</v>
      </c>
      <c r="AN39" s="307" t="e">
        <f>VLOOKUP(功能_33[[#This Row],[功能代號]],工作表2!B:B,1,FALSE)</f>
        <v>#N/A</v>
      </c>
    </row>
    <row r="40" spans="1:40" ht="14.25" hidden="1" customHeight="1">
      <c r="A40" s="224">
        <v>37</v>
      </c>
      <c r="B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07" t="s">
        <v>102</v>
      </c>
      <c r="D40" s="230"/>
      <c r="E40" s="308" t="s">
        <v>268</v>
      </c>
      <c r="F40" s="307" t="s">
        <v>269</v>
      </c>
      <c r="G40" s="307"/>
      <c r="H40" s="308" t="s">
        <v>203</v>
      </c>
      <c r="I40" s="308" t="s">
        <v>204</v>
      </c>
      <c r="J40" s="229" t="s">
        <v>2780</v>
      </c>
      <c r="K40" s="226">
        <v>44431</v>
      </c>
      <c r="L40" s="226">
        <v>44431</v>
      </c>
      <c r="M40" s="226" t="str">
        <f>IFERROR(IF(VLOOKUP(功能_33[[#This Row],[功能代號]],討論項目!A:H,8,FALSE)=0,"",VLOOKUP(功能_33[[#This Row],[功能代號]],討論項目!A:H,8,FALSE)),"")</f>
        <v/>
      </c>
      <c r="N40" s="308" t="s">
        <v>7</v>
      </c>
      <c r="O40" s="308" t="s">
        <v>13</v>
      </c>
      <c r="P40" s="277" t="s">
        <v>240</v>
      </c>
      <c r="T40" s="308"/>
      <c r="V40" s="308"/>
      <c r="W40" s="308"/>
      <c r="X40" s="307" t="str">
        <f>VLOOKUP(功能_33[[#This Row],[User]],SKL放款!A:G,7,FALSE)</f>
        <v>放款推展課</v>
      </c>
      <c r="Y40" s="228">
        <f>IF(功能_33[[#This Row],[實際展示]]="","",功能_33[[#This Row],[實際展示]]+14)</f>
        <v>44445</v>
      </c>
      <c r="Z40" s="226" t="s">
        <v>205</v>
      </c>
      <c r="AA40" s="226">
        <v>44477</v>
      </c>
      <c r="AB40" s="226">
        <v>44477</v>
      </c>
      <c r="AC40" s="226"/>
      <c r="AD40" s="226" t="s">
        <v>198</v>
      </c>
      <c r="AE40" s="226"/>
      <c r="AF40" s="355"/>
      <c r="AG40" s="226" t="str">
        <f>IFERROR(IF(VLOOKUP(功能_33[[#This Row],[功能代號]],E:Q,11,FALSE)=0,"",VLOOKUP(功能_33[[#This Row],[功能代號]],E:Q,11,FALSE)),"")</f>
        <v>李珮君</v>
      </c>
      <c r="AH40" s="226"/>
      <c r="AI40" s="226"/>
      <c r="AJ40" s="307"/>
      <c r="AL40" s="308" t="s">
        <v>199</v>
      </c>
      <c r="AM40" s="308" t="s">
        <v>199</v>
      </c>
      <c r="AN40" s="307" t="e">
        <f>VLOOKUP(功能_33[[#This Row],[功能代號]],工作表2!B:B,1,FALSE)</f>
        <v>#N/A</v>
      </c>
    </row>
    <row r="41" spans="1:40" ht="14.25" hidden="1" customHeight="1">
      <c r="A41" s="224">
        <v>38</v>
      </c>
      <c r="B41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07" t="s">
        <v>102</v>
      </c>
      <c r="D41" s="230"/>
      <c r="E41" s="308" t="s">
        <v>270</v>
      </c>
      <c r="F41" s="307" t="s">
        <v>271</v>
      </c>
      <c r="G41" s="307"/>
      <c r="H41" s="308" t="s">
        <v>203</v>
      </c>
      <c r="I41" s="308" t="s">
        <v>239</v>
      </c>
      <c r="J41" s="229" t="s">
        <v>209</v>
      </c>
      <c r="K41" s="226">
        <v>44431</v>
      </c>
      <c r="L41" s="226">
        <v>44431</v>
      </c>
      <c r="M41" s="226" t="str">
        <f>IFERROR(IF(VLOOKUP(功能_33[[#This Row],[功能代號]],討論項目!A:H,8,FALSE)=0,"",VLOOKUP(功能_33[[#This Row],[功能代號]],討論項目!A:H,8,FALSE)),"")</f>
        <v/>
      </c>
      <c r="N41" s="308" t="s">
        <v>10</v>
      </c>
      <c r="O41" s="308" t="s">
        <v>13</v>
      </c>
      <c r="P41" s="277" t="s">
        <v>240</v>
      </c>
      <c r="T41" s="308"/>
      <c r="V41" s="308"/>
      <c r="W41" s="308"/>
      <c r="X41" s="307" t="str">
        <f>VLOOKUP(功能_33[[#This Row],[User]],SKL放款!A:G,7,FALSE)</f>
        <v>放款推展課</v>
      </c>
      <c r="Y41" s="228">
        <f>IF(功能_33[[#This Row],[實際展示]]="","",功能_33[[#This Row],[實際展示]]+14)</f>
        <v>44445</v>
      </c>
      <c r="Z41" s="226">
        <v>44470</v>
      </c>
      <c r="AA41" s="226">
        <f>IF(功能_33[[#This Row],[URS交二審]]=0,"",功能_33[[#This Row],[URS交二審]]+7)</f>
        <v>44477</v>
      </c>
      <c r="AB41" s="226">
        <f>IF(功能_33[[#This Row],[URS交二審]]=0,"",功能_33[[#This Row],[URS交二審]]+7)</f>
        <v>44477</v>
      </c>
      <c r="AC41" s="226"/>
      <c r="AD41" s="226" t="s">
        <v>198</v>
      </c>
      <c r="AE41" s="226"/>
      <c r="AF41" s="355"/>
      <c r="AG41" s="226" t="str">
        <f>IFERROR(IF(VLOOKUP(功能_33[[#This Row],[功能代號]],E:Q,11,FALSE)=0,"",VLOOKUP(功能_33[[#This Row],[功能代號]],E:Q,11,FALSE)),"")</f>
        <v>李珮君</v>
      </c>
      <c r="AH41" s="226"/>
      <c r="AI41" s="226"/>
      <c r="AJ41" s="307"/>
      <c r="AL41" s="308" t="s">
        <v>199</v>
      </c>
      <c r="AN41" s="307" t="e">
        <f>VLOOKUP(功能_33[[#This Row],[功能代號]],工作表2!B:B,1,FALSE)</f>
        <v>#N/A</v>
      </c>
    </row>
    <row r="42" spans="1:40" ht="14.25" hidden="1" customHeight="1">
      <c r="A42" s="224">
        <v>39</v>
      </c>
      <c r="B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07" t="s">
        <v>102</v>
      </c>
      <c r="D42" s="230"/>
      <c r="E42" s="308" t="s">
        <v>272</v>
      </c>
      <c r="F42" s="307" t="s">
        <v>273</v>
      </c>
      <c r="G42" s="307"/>
      <c r="H42" s="308" t="s">
        <v>203</v>
      </c>
      <c r="I42" s="308" t="s">
        <v>239</v>
      </c>
      <c r="J42" s="229" t="s">
        <v>209</v>
      </c>
      <c r="K42" s="226">
        <v>44431</v>
      </c>
      <c r="L42" s="226">
        <v>44431</v>
      </c>
      <c r="M42" s="226">
        <f>IFERROR(IF(VLOOKUP(功能_33[[#This Row],[功能代號]],討論項目!A:H,8,FALSE)=0,"",VLOOKUP(功能_33[[#This Row],[功能代號]],討論項目!A:H,8,FALSE)),"")</f>
        <v>44456</v>
      </c>
      <c r="N42" s="308" t="s">
        <v>10</v>
      </c>
      <c r="O42" s="308" t="s">
        <v>13</v>
      </c>
      <c r="P42" s="277" t="s">
        <v>240</v>
      </c>
      <c r="T42" s="308"/>
      <c r="V42" s="308"/>
      <c r="W42" s="308"/>
      <c r="X42" s="307" t="str">
        <f>VLOOKUP(功能_33[[#This Row],[User]],SKL放款!A:G,7,FALSE)</f>
        <v>放款推展課</v>
      </c>
      <c r="Y42" s="228">
        <f>IF(功能_33[[#This Row],[實際展示]]="","",功能_33[[#This Row],[實際展示]]+14)</f>
        <v>44445</v>
      </c>
      <c r="Z42" s="226">
        <v>44470</v>
      </c>
      <c r="AA42" s="226">
        <f>IF(功能_33[[#This Row],[URS交二審]]=0,"",功能_33[[#This Row],[URS交二審]]+7)</f>
        <v>44477</v>
      </c>
      <c r="AB42" s="226">
        <f>IF(功能_33[[#This Row],[URS交二審]]=0,"",功能_33[[#This Row],[URS交二審]]+7)</f>
        <v>44477</v>
      </c>
      <c r="AC42" s="226"/>
      <c r="AD42" s="226" t="s">
        <v>198</v>
      </c>
      <c r="AE42" s="226"/>
      <c r="AF42" s="355"/>
      <c r="AG42" s="226" t="str">
        <f>IFERROR(IF(VLOOKUP(功能_33[[#This Row],[功能代號]],E:Q,11,FALSE)=0,"",VLOOKUP(功能_33[[#This Row],[功能代號]],E:Q,11,FALSE)),"")</f>
        <v>李珮君</v>
      </c>
      <c r="AH42" s="226"/>
      <c r="AI42" s="226"/>
      <c r="AJ42" s="307"/>
      <c r="AL42" s="308" t="s">
        <v>199</v>
      </c>
      <c r="AN42" s="307" t="str">
        <f>VLOOKUP(功能_33[[#This Row],[功能代號]],工作表2!B:B,1,FALSE)</f>
        <v>L2221</v>
      </c>
    </row>
    <row r="43" spans="1:40" ht="14.25" hidden="1" customHeight="1">
      <c r="A43" s="224">
        <v>40</v>
      </c>
      <c r="B43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07" t="s">
        <v>102</v>
      </c>
      <c r="D43" s="307" t="s">
        <v>274</v>
      </c>
      <c r="E43" s="308" t="s">
        <v>275</v>
      </c>
      <c r="F43" s="307" t="s">
        <v>276</v>
      </c>
      <c r="G43" s="307"/>
      <c r="H43" s="308" t="s">
        <v>203</v>
      </c>
      <c r="I43" s="308" t="s">
        <v>239</v>
      </c>
      <c r="J43" s="229"/>
      <c r="K43" s="226">
        <v>44431</v>
      </c>
      <c r="L43" s="226">
        <v>44432</v>
      </c>
      <c r="M43" s="226">
        <f>IFERROR(IF(VLOOKUP(功能_33[[#This Row],[功能代號]],討論項目!A:H,8,FALSE)=0,"",VLOOKUP(功能_33[[#This Row],[功能代號]],討論項目!A:H,8,FALSE)),"")</f>
        <v>44434</v>
      </c>
      <c r="N43" s="308" t="s">
        <v>10</v>
      </c>
      <c r="O43" s="308" t="s">
        <v>13</v>
      </c>
      <c r="P43" s="277" t="s">
        <v>240</v>
      </c>
      <c r="T43" s="308"/>
      <c r="V43" s="308"/>
      <c r="W43" s="308"/>
      <c r="X43" s="307" t="str">
        <f>VLOOKUP(功能_33[[#This Row],[User]],SKL放款!A:G,7,FALSE)</f>
        <v>放款推展課</v>
      </c>
      <c r="Y43" s="228">
        <f>IF(功能_33[[#This Row],[實際展示]]="","",功能_33[[#This Row],[實際展示]]+14)</f>
        <v>44446</v>
      </c>
      <c r="Z43" s="226" t="s">
        <v>213</v>
      </c>
      <c r="AA43" s="226"/>
      <c r="AB43" s="226"/>
      <c r="AC43" s="226"/>
      <c r="AD43" s="226"/>
      <c r="AE43" s="226"/>
      <c r="AF43" s="355"/>
      <c r="AG43" s="226" t="str">
        <f>IFERROR(IF(VLOOKUP(功能_33[[#This Row],[功能代號]],E:Q,11,FALSE)=0,"",VLOOKUP(功能_33[[#This Row],[功能代號]],E:Q,11,FALSE)),"")</f>
        <v>李珮君</v>
      </c>
      <c r="AH43" s="226"/>
      <c r="AI43" s="226"/>
      <c r="AJ43" s="307"/>
      <c r="AL43" s="308" t="s">
        <v>199</v>
      </c>
      <c r="AN43" s="307" t="str">
        <f>VLOOKUP(功能_33[[#This Row],[功能代號]],工作表2!B:B,1,FALSE)</f>
        <v>L2038</v>
      </c>
    </row>
    <row r="44" spans="1:40" ht="14.25" hidden="1" customHeight="1">
      <c r="A44" s="224">
        <v>41</v>
      </c>
      <c r="B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07" t="s">
        <v>102</v>
      </c>
      <c r="D44" s="307" t="s">
        <v>274</v>
      </c>
      <c r="E44" s="308" t="s">
        <v>277</v>
      </c>
      <c r="F44" s="307" t="s">
        <v>278</v>
      </c>
      <c r="G44" s="307"/>
      <c r="H44" s="308" t="s">
        <v>203</v>
      </c>
      <c r="I44" s="308" t="s">
        <v>239</v>
      </c>
      <c r="J44" s="229"/>
      <c r="K44" s="226">
        <v>44432</v>
      </c>
      <c r="L44" s="226">
        <v>44432</v>
      </c>
      <c r="M44" s="226">
        <f>IFERROR(IF(VLOOKUP(功能_33[[#This Row],[功能代號]],討論項目!A:H,8,FALSE)=0,"",VLOOKUP(功能_33[[#This Row],[功能代號]],討論項目!A:H,8,FALSE)),"")</f>
        <v>44447</v>
      </c>
      <c r="N44" s="308" t="s">
        <v>10</v>
      </c>
      <c r="O44" s="308" t="s">
        <v>13</v>
      </c>
      <c r="P44" s="277" t="s">
        <v>279</v>
      </c>
      <c r="T44" s="308"/>
      <c r="V44" s="308"/>
      <c r="W44" s="308"/>
      <c r="X44" s="307" t="str">
        <f>VLOOKUP(功能_33[[#This Row],[User]],SKL放款!A:G,7,FALSE)</f>
        <v>放款推展課</v>
      </c>
      <c r="Y44" s="228">
        <f>IF(功能_33[[#This Row],[實際展示]]="","",功能_33[[#This Row],[實際展示]]+14)</f>
        <v>44446</v>
      </c>
      <c r="Z44" s="226" t="s">
        <v>213</v>
      </c>
      <c r="AA44" s="226"/>
      <c r="AB44" s="226"/>
      <c r="AC44" s="226"/>
      <c r="AD44" s="226"/>
      <c r="AE44" s="226"/>
      <c r="AF44" s="355"/>
      <c r="AG44" s="226" t="str">
        <f>IFERROR(IF(VLOOKUP(功能_33[[#This Row],[功能代號]],E:Q,11,FALSE)=0,"",VLOOKUP(功能_33[[#This Row],[功能代號]],E:Q,11,FALSE)),"")</f>
        <v>李珮君</v>
      </c>
      <c r="AH44" s="226"/>
      <c r="AI44" s="226"/>
      <c r="AJ44" s="307"/>
      <c r="AL44" s="308" t="s">
        <v>280</v>
      </c>
      <c r="AM44" s="409" t="s">
        <v>281</v>
      </c>
      <c r="AN44" s="307" t="str">
        <f>VLOOKUP(功能_33[[#This Row],[功能代號]],工作表2!B:B,1,FALSE)</f>
        <v>L2411</v>
      </c>
    </row>
    <row r="45" spans="1:40" ht="14.25" hidden="1" customHeight="1">
      <c r="A45" s="224">
        <v>42</v>
      </c>
      <c r="B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07" t="s">
        <v>102</v>
      </c>
      <c r="D45" s="307" t="s">
        <v>274</v>
      </c>
      <c r="E45" s="308" t="s">
        <v>282</v>
      </c>
      <c r="F45" s="307" t="s">
        <v>283</v>
      </c>
      <c r="G45" s="307"/>
      <c r="H45" s="308" t="s">
        <v>203</v>
      </c>
      <c r="I45" s="308" t="s">
        <v>239</v>
      </c>
      <c r="J45" s="229"/>
      <c r="K45" s="226">
        <v>44432</v>
      </c>
      <c r="L45" s="226">
        <v>44432</v>
      </c>
      <c r="M45" s="226">
        <f>IFERROR(IF(VLOOKUP(功能_33[[#This Row],[功能代號]],討論項目!A:H,8,FALSE)=0,"",VLOOKUP(功能_33[[#This Row],[功能代號]],討論項目!A:H,8,FALSE)),"")</f>
        <v>44445</v>
      </c>
      <c r="N45" s="308" t="s">
        <v>10</v>
      </c>
      <c r="O45" s="308" t="s">
        <v>13</v>
      </c>
      <c r="P45" s="277" t="s">
        <v>240</v>
      </c>
      <c r="T45" s="308"/>
      <c r="V45" s="308"/>
      <c r="W45" s="308"/>
      <c r="X45" s="307" t="str">
        <f>VLOOKUP(功能_33[[#This Row],[User]],SKL放款!A:G,7,FALSE)</f>
        <v>放款推展課</v>
      </c>
      <c r="Y45" s="228">
        <f>IF(功能_33[[#This Row],[實際展示]]="","",功能_33[[#This Row],[實際展示]]+14)</f>
        <v>44446</v>
      </c>
      <c r="Z45" s="226" t="s">
        <v>213</v>
      </c>
      <c r="AA45" s="226"/>
      <c r="AB45" s="226"/>
      <c r="AC45" s="226"/>
      <c r="AD45" s="226"/>
      <c r="AE45" s="226"/>
      <c r="AF45" s="355"/>
      <c r="AG45" s="226" t="str">
        <f>IFERROR(IF(VLOOKUP(功能_33[[#This Row],[功能代號]],E:Q,11,FALSE)=0,"",VLOOKUP(功能_33[[#This Row],[功能代號]],E:Q,11,FALSE)),"")</f>
        <v>李珮君</v>
      </c>
      <c r="AH45" s="226"/>
      <c r="AI45" s="226"/>
      <c r="AJ45" s="307"/>
      <c r="AK45" s="228">
        <v>44494</v>
      </c>
      <c r="AL45" s="308" t="s">
        <v>280</v>
      </c>
      <c r="AM45" s="307" t="s">
        <v>284</v>
      </c>
      <c r="AN45" s="307" t="str">
        <f>VLOOKUP(功能_33[[#This Row],[功能代號]],工作表2!B:B,1,FALSE)</f>
        <v>L2911</v>
      </c>
    </row>
    <row r="46" spans="1:40" ht="14.25" hidden="1" customHeight="1">
      <c r="A46" s="224">
        <v>47</v>
      </c>
      <c r="B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07" t="s">
        <v>102</v>
      </c>
      <c r="D46" s="307" t="s">
        <v>274</v>
      </c>
      <c r="E46" s="308" t="s">
        <v>285</v>
      </c>
      <c r="F46" s="307" t="s">
        <v>286</v>
      </c>
      <c r="G46" s="307"/>
      <c r="H46" s="308" t="s">
        <v>203</v>
      </c>
      <c r="I46" s="308" t="s">
        <v>239</v>
      </c>
      <c r="J46" s="229"/>
      <c r="K46" s="226">
        <v>44432</v>
      </c>
      <c r="L46" s="226">
        <v>44432</v>
      </c>
      <c r="M46" s="226">
        <f>IFERROR(IF(VLOOKUP(功能_33[[#This Row],[功能代號]],討論項目!A:H,8,FALSE)=0,"",VLOOKUP(功能_33[[#This Row],[功能代號]],討論項目!A:H,8,FALSE)),"")</f>
        <v>44445</v>
      </c>
      <c r="N46" s="308" t="s">
        <v>10</v>
      </c>
      <c r="O46" s="308" t="s">
        <v>13</v>
      </c>
      <c r="P46" s="277" t="s">
        <v>240</v>
      </c>
      <c r="T46" s="308"/>
      <c r="V46" s="308"/>
      <c r="W46" s="308"/>
      <c r="X46" s="307" t="str">
        <f>VLOOKUP(功能_33[[#This Row],[User]],SKL放款!A:G,7,FALSE)</f>
        <v>放款推展課</v>
      </c>
      <c r="Y46" s="228">
        <f>IF(功能_33[[#This Row],[實際展示]]="","",功能_33[[#This Row],[實際展示]]+14)</f>
        <v>44446</v>
      </c>
      <c r="Z46" s="226" t="s">
        <v>213</v>
      </c>
      <c r="AA46" s="226"/>
      <c r="AB46" s="226"/>
      <c r="AC46" s="226"/>
      <c r="AD46" s="226"/>
      <c r="AE46" s="226"/>
      <c r="AF46" s="355"/>
      <c r="AG46" s="226" t="str">
        <f>IFERROR(IF(VLOOKUP(功能_33[[#This Row],[功能代號]],E:Q,11,FALSE)=0,"",VLOOKUP(功能_33[[#This Row],[功能代號]],E:Q,11,FALSE)),"")</f>
        <v>李珮君</v>
      </c>
      <c r="AH46" s="226"/>
      <c r="AI46" s="226"/>
      <c r="AJ46" s="307"/>
      <c r="AL46" s="308" t="s">
        <v>199</v>
      </c>
      <c r="AM46" s="409"/>
      <c r="AN46" s="307" t="str">
        <f>VLOOKUP(功能_33[[#This Row],[功能代號]],工作表2!B:B,1,FALSE)</f>
        <v>L2415</v>
      </c>
    </row>
    <row r="47" spans="1:40" ht="14.25" hidden="1" customHeight="1">
      <c r="A47" s="224">
        <v>44</v>
      </c>
      <c r="B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07" t="s">
        <v>102</v>
      </c>
      <c r="D47" s="307" t="s">
        <v>274</v>
      </c>
      <c r="E47" s="308" t="s">
        <v>287</v>
      </c>
      <c r="F47" s="307" t="s">
        <v>288</v>
      </c>
      <c r="G47" s="307"/>
      <c r="H47" s="308" t="s">
        <v>203</v>
      </c>
      <c r="I47" s="308" t="s">
        <v>239</v>
      </c>
      <c r="J47" s="229"/>
      <c r="K47" s="226">
        <v>44432</v>
      </c>
      <c r="L47" s="226">
        <v>44432</v>
      </c>
      <c r="M47" s="226" t="str">
        <f>IFERROR(IF(VLOOKUP(功能_33[[#This Row],[功能代號]],討論項目!A:H,8,FALSE)=0,"",VLOOKUP(功能_33[[#This Row],[功能代號]],討論項目!A:H,8,FALSE)),"")</f>
        <v/>
      </c>
      <c r="N47" s="308" t="s">
        <v>10</v>
      </c>
      <c r="O47" s="308" t="s">
        <v>13</v>
      </c>
      <c r="P47" s="277" t="s">
        <v>240</v>
      </c>
      <c r="T47" s="308"/>
      <c r="V47" s="308"/>
      <c r="W47" s="308"/>
      <c r="X47" s="307" t="str">
        <f>VLOOKUP(功能_33[[#This Row],[User]],SKL放款!A:G,7,FALSE)</f>
        <v>放款推展課</v>
      </c>
      <c r="Y47" s="228">
        <f>IF(功能_33[[#This Row],[實際展示]]="","",功能_33[[#This Row],[實際展示]]+14)</f>
        <v>44446</v>
      </c>
      <c r="Z47" s="226" t="s">
        <v>205</v>
      </c>
      <c r="AA47" s="226">
        <v>44477</v>
      </c>
      <c r="AB47" s="226">
        <v>44477</v>
      </c>
      <c r="AC47" s="226"/>
      <c r="AD47" s="226" t="s">
        <v>198</v>
      </c>
      <c r="AE47" s="226"/>
      <c r="AF47" s="355"/>
      <c r="AG47" s="226" t="str">
        <f>IFERROR(IF(VLOOKUP(功能_33[[#This Row],[功能代號]],E:Q,11,FALSE)=0,"",VLOOKUP(功能_33[[#This Row],[功能代號]],E:Q,11,FALSE)),"")</f>
        <v>李珮君</v>
      </c>
      <c r="AH47" s="226"/>
      <c r="AI47" s="226"/>
      <c r="AJ47" s="307"/>
      <c r="AL47" s="308" t="s">
        <v>280</v>
      </c>
      <c r="AM47" s="307" t="s">
        <v>284</v>
      </c>
      <c r="AN47" s="307" t="e">
        <f>VLOOKUP(功能_33[[#This Row],[功能代號]],工作表2!B:B,1,FALSE)</f>
        <v>#N/A</v>
      </c>
    </row>
    <row r="48" spans="1:40" ht="14.25" hidden="1" customHeight="1">
      <c r="A48" s="224">
        <v>48</v>
      </c>
      <c r="B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07" t="s">
        <v>102</v>
      </c>
      <c r="D48" s="307" t="s">
        <v>274</v>
      </c>
      <c r="E48" s="308" t="s">
        <v>289</v>
      </c>
      <c r="F48" s="307" t="s">
        <v>290</v>
      </c>
      <c r="G48" s="307"/>
      <c r="H48" s="308" t="s">
        <v>203</v>
      </c>
      <c r="I48" s="308" t="s">
        <v>239</v>
      </c>
      <c r="J48" s="229"/>
      <c r="K48" s="226">
        <v>44432</v>
      </c>
      <c r="L48" s="226">
        <v>44432</v>
      </c>
      <c r="M48" s="226" t="str">
        <f>IFERROR(IF(VLOOKUP(功能_33[[#This Row],[功能代號]],討論項目!A:H,8,FALSE)=0,"",VLOOKUP(功能_33[[#This Row],[功能代號]],討論項目!A:H,8,FALSE)),"")</f>
        <v/>
      </c>
      <c r="N48" s="308" t="s">
        <v>10</v>
      </c>
      <c r="O48" s="308" t="s">
        <v>180</v>
      </c>
      <c r="P48" s="277" t="s">
        <v>240</v>
      </c>
      <c r="T48" s="308"/>
      <c r="V48" s="308"/>
      <c r="W48" s="308"/>
      <c r="X48" s="307" t="str">
        <f>VLOOKUP(功能_33[[#This Row],[User]],SKL放款!A:G,7,FALSE)</f>
        <v>放款服務課</v>
      </c>
      <c r="Y48" s="228">
        <f>IF(功能_33[[#This Row],[實際展示]]="","",功能_33[[#This Row],[實際展示]]+14)</f>
        <v>44446</v>
      </c>
      <c r="Z48" s="226" t="s">
        <v>205</v>
      </c>
      <c r="AA48" s="226">
        <v>44477</v>
      </c>
      <c r="AB48" s="226">
        <v>44477</v>
      </c>
      <c r="AC48" s="226"/>
      <c r="AD48" s="226" t="s">
        <v>198</v>
      </c>
      <c r="AE48" s="226"/>
      <c r="AF48" s="355"/>
      <c r="AG48" s="226" t="str">
        <f>IFERROR(IF(VLOOKUP(功能_33[[#This Row],[功能代號]],E:Q,11,FALSE)=0,"",VLOOKUP(功能_33[[#This Row],[功能代號]],E:Q,11,FALSE)),"")</f>
        <v>陳政皓</v>
      </c>
      <c r="AH48" s="226"/>
      <c r="AI48" s="226"/>
      <c r="AJ48" s="307"/>
      <c r="AL48" s="308" t="s">
        <v>280</v>
      </c>
      <c r="AM48" s="409" t="s">
        <v>291</v>
      </c>
      <c r="AN48" s="307" t="e">
        <f>VLOOKUP(功能_33[[#This Row],[功能代號]],工作表2!B:B,1,FALSE)</f>
        <v>#N/A</v>
      </c>
    </row>
    <row r="49" spans="1:40" ht="14.25" hidden="1" customHeight="1">
      <c r="A49" s="224">
        <v>45</v>
      </c>
      <c r="B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07" t="s">
        <v>102</v>
      </c>
      <c r="D49" s="307" t="s">
        <v>274</v>
      </c>
      <c r="E49" s="308" t="s">
        <v>292</v>
      </c>
      <c r="F49" s="307" t="s">
        <v>293</v>
      </c>
      <c r="G49" s="307"/>
      <c r="H49" s="308" t="s">
        <v>203</v>
      </c>
      <c r="I49" s="308" t="s">
        <v>239</v>
      </c>
      <c r="J49" s="229"/>
      <c r="K49" s="226">
        <v>44432</v>
      </c>
      <c r="L49" s="226">
        <v>44432</v>
      </c>
      <c r="M49" s="226" t="str">
        <f>IFERROR(IF(VLOOKUP(功能_33[[#This Row],[功能代號]],討論項目!A:H,8,FALSE)=0,"",VLOOKUP(功能_33[[#This Row],[功能代號]],討論項目!A:H,8,FALSE)),"")</f>
        <v/>
      </c>
      <c r="N49" s="308" t="s">
        <v>10</v>
      </c>
      <c r="O49" s="308" t="s">
        <v>180</v>
      </c>
      <c r="P49" s="277" t="s">
        <v>240</v>
      </c>
      <c r="T49" s="308"/>
      <c r="V49" s="308"/>
      <c r="W49" s="308"/>
      <c r="X49" s="307" t="str">
        <f>VLOOKUP(功能_33[[#This Row],[User]],SKL放款!A:G,7,FALSE)</f>
        <v>放款服務課</v>
      </c>
      <c r="Y49" s="228">
        <f>IF(功能_33[[#This Row],[實際展示]]="","",功能_33[[#This Row],[實際展示]]+14)</f>
        <v>44446</v>
      </c>
      <c r="Z49" s="226" t="s">
        <v>205</v>
      </c>
      <c r="AA49" s="226">
        <v>44477</v>
      </c>
      <c r="AB49" s="226">
        <v>44477</v>
      </c>
      <c r="AC49" s="226"/>
      <c r="AD49" s="226" t="s">
        <v>198</v>
      </c>
      <c r="AE49" s="226"/>
      <c r="AF49" s="355"/>
      <c r="AG49" s="226" t="str">
        <f>IFERROR(IF(VLOOKUP(功能_33[[#This Row],[功能代號]],E:Q,11,FALSE)=0,"",VLOOKUP(功能_33[[#This Row],[功能代號]],E:Q,11,FALSE)),"")</f>
        <v>陳政皓</v>
      </c>
      <c r="AH49" s="226"/>
      <c r="AI49" s="226"/>
      <c r="AJ49" s="307"/>
      <c r="AL49" s="308" t="s">
        <v>199</v>
      </c>
      <c r="AN49" s="307" t="e">
        <f>VLOOKUP(功能_33[[#This Row],[功能代號]],工作表2!B:B,1,FALSE)</f>
        <v>#N/A</v>
      </c>
    </row>
    <row r="50" spans="1:40" ht="14.25" hidden="1" customHeight="1">
      <c r="A50" s="224">
        <v>52</v>
      </c>
      <c r="B50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07" t="s">
        <v>102</v>
      </c>
      <c r="D50" s="307" t="s">
        <v>274</v>
      </c>
      <c r="E50" s="308" t="s">
        <v>294</v>
      </c>
      <c r="F50" s="307" t="s">
        <v>295</v>
      </c>
      <c r="G50" s="307"/>
      <c r="H50" s="308" t="s">
        <v>203</v>
      </c>
      <c r="I50" s="308" t="s">
        <v>204</v>
      </c>
      <c r="J50" s="229" t="s">
        <v>2780</v>
      </c>
      <c r="K50" s="226">
        <v>44433</v>
      </c>
      <c r="L50" s="226">
        <v>44433</v>
      </c>
      <c r="M50" s="226" t="str">
        <f>IFERROR(IF(VLOOKUP(功能_33[[#This Row],[功能代號]],討論項目!A:H,8,FALSE)=0,"",VLOOKUP(功能_33[[#This Row],[功能代號]],討論項目!A:H,8,FALSE)),"")</f>
        <v/>
      </c>
      <c r="N50" s="308" t="s">
        <v>10</v>
      </c>
      <c r="O50" s="308" t="s">
        <v>18</v>
      </c>
      <c r="P50" s="277" t="s">
        <v>240</v>
      </c>
      <c r="T50" s="308"/>
      <c r="V50" s="308"/>
      <c r="W50" s="308"/>
      <c r="X50" s="307" t="str">
        <f>VLOOKUP(功能_33[[#This Row],[User]],SKL放款!A:G,7,FALSE)</f>
        <v>放款服務課</v>
      </c>
      <c r="Y50" s="228">
        <f>IF(功能_33[[#This Row],[實際展示]]="","",功能_33[[#This Row],[實際展示]]+14)</f>
        <v>44447</v>
      </c>
      <c r="Z50" s="226">
        <v>44470</v>
      </c>
      <c r="AA50" s="226">
        <f>IF(功能_33[[#This Row],[URS交二審]]=0,"",功能_33[[#This Row],[URS交二審]]+7)</f>
        <v>44477</v>
      </c>
      <c r="AB50" s="226">
        <f>IF(功能_33[[#This Row],[URS交二審]]=0,"",功能_33[[#This Row],[URS交二審]]+7)</f>
        <v>44477</v>
      </c>
      <c r="AC50" s="226"/>
      <c r="AD50" s="226" t="s">
        <v>198</v>
      </c>
      <c r="AE50" s="226"/>
      <c r="AF50" s="355"/>
      <c r="AG50" s="226" t="str">
        <f>IFERROR(IF(VLOOKUP(功能_33[[#This Row],[功能代號]],E:Q,11,FALSE)=0,"",VLOOKUP(功能_33[[#This Row],[功能代號]],E:Q,11,FALSE)),"")</f>
        <v>尹少玄</v>
      </c>
      <c r="AH50" s="226"/>
      <c r="AI50" s="226"/>
      <c r="AJ50" s="307"/>
      <c r="AL50" s="308" t="s">
        <v>199</v>
      </c>
      <c r="AM50" s="308" t="s">
        <v>199</v>
      </c>
      <c r="AN50" s="307" t="e">
        <f>VLOOKUP(功能_33[[#This Row],[功能代號]],工作表2!B:B,1,FALSE)</f>
        <v>#N/A</v>
      </c>
    </row>
    <row r="51" spans="1:40" ht="14.25" hidden="1" customHeight="1">
      <c r="A51" s="224">
        <v>53</v>
      </c>
      <c r="B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07" t="s">
        <v>102</v>
      </c>
      <c r="D51" s="307" t="s">
        <v>274</v>
      </c>
      <c r="E51" s="308" t="s">
        <v>296</v>
      </c>
      <c r="F51" s="307" t="s">
        <v>297</v>
      </c>
      <c r="G51" s="307"/>
      <c r="H51" s="308" t="s">
        <v>203</v>
      </c>
      <c r="I51" s="308" t="s">
        <v>204</v>
      </c>
      <c r="J51" s="229" t="s">
        <v>2780</v>
      </c>
      <c r="K51" s="226">
        <v>44433</v>
      </c>
      <c r="L51" s="226">
        <v>44433</v>
      </c>
      <c r="M51" s="226" t="str">
        <f>IFERROR(IF(VLOOKUP(功能_33[[#This Row],[功能代號]],討論項目!A:H,8,FALSE)=0,"",VLOOKUP(功能_33[[#This Row],[功能代號]],討論項目!A:H,8,FALSE)),"")</f>
        <v/>
      </c>
      <c r="N51" s="308" t="s">
        <v>10</v>
      </c>
      <c r="O51" s="308" t="s">
        <v>13</v>
      </c>
      <c r="P51" s="277" t="s">
        <v>240</v>
      </c>
      <c r="T51" s="308"/>
      <c r="V51" s="308"/>
      <c r="W51" s="308"/>
      <c r="X51" s="307" t="str">
        <f>VLOOKUP(功能_33[[#This Row],[User]],SKL放款!A:G,7,FALSE)</f>
        <v>放款推展課</v>
      </c>
      <c r="Y51" s="228">
        <f>IF(功能_33[[#This Row],[實際展示]]="","",功能_33[[#This Row],[實際展示]]+14)</f>
        <v>44447</v>
      </c>
      <c r="Z51" s="226" t="s">
        <v>205</v>
      </c>
      <c r="AA51" s="226">
        <v>44477</v>
      </c>
      <c r="AB51" s="226">
        <v>44477</v>
      </c>
      <c r="AC51" s="226"/>
      <c r="AD51" s="226" t="s">
        <v>198</v>
      </c>
      <c r="AE51" s="226"/>
      <c r="AF51" s="355"/>
      <c r="AG51" s="226" t="str">
        <f>IFERROR(IF(VLOOKUP(功能_33[[#This Row],[功能代號]],E:Q,11,FALSE)=0,"",VLOOKUP(功能_33[[#This Row],[功能代號]],E:Q,11,FALSE)),"")</f>
        <v>李珮君</v>
      </c>
      <c r="AH51" s="226"/>
      <c r="AI51" s="226"/>
      <c r="AJ51" s="307"/>
      <c r="AK51" s="228">
        <v>44498</v>
      </c>
      <c r="AL51" s="308" t="s">
        <v>199</v>
      </c>
      <c r="AM51" s="308" t="s">
        <v>199</v>
      </c>
      <c r="AN51" s="307" t="e">
        <f>VLOOKUP(功能_33[[#This Row],[功能代號]],工作表2!B:B,1,FALSE)</f>
        <v>#N/A</v>
      </c>
    </row>
    <row r="52" spans="1:40" ht="14.25" hidden="1" customHeight="1">
      <c r="A52" s="224">
        <v>49</v>
      </c>
      <c r="B52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07" t="s">
        <v>102</v>
      </c>
      <c r="D52" s="307" t="s">
        <v>298</v>
      </c>
      <c r="E52" s="308" t="s">
        <v>299</v>
      </c>
      <c r="F52" s="307" t="s">
        <v>300</v>
      </c>
      <c r="G52" s="307"/>
      <c r="H52" s="308" t="s">
        <v>203</v>
      </c>
      <c r="I52" s="308" t="s">
        <v>239</v>
      </c>
      <c r="J52" s="229"/>
      <c r="K52" s="226">
        <v>44433</v>
      </c>
      <c r="L52" s="226">
        <v>44432</v>
      </c>
      <c r="M52" s="226">
        <f>IFERROR(IF(VLOOKUP(功能_33[[#This Row],[功能代號]],討論項目!A:H,8,FALSE)=0,"",VLOOKUP(功能_33[[#This Row],[功能代號]],討論項目!A:H,8,FALSE)),"")</f>
        <v>44409</v>
      </c>
      <c r="N52" s="308" t="s">
        <v>10</v>
      </c>
      <c r="O52" s="308" t="s">
        <v>13</v>
      </c>
      <c r="P52" s="277" t="s">
        <v>240</v>
      </c>
      <c r="T52" s="308"/>
      <c r="V52" s="308"/>
      <c r="W52" s="308"/>
      <c r="X52" s="307" t="str">
        <f>VLOOKUP(功能_33[[#This Row],[User]],SKL放款!A:G,7,FALSE)</f>
        <v>放款推展課</v>
      </c>
      <c r="Y52" s="228">
        <f>IF(功能_33[[#This Row],[實際展示]]="","",功能_33[[#This Row],[實際展示]]+14)</f>
        <v>44446</v>
      </c>
      <c r="Z52" s="226" t="s">
        <v>213</v>
      </c>
      <c r="AA52" s="226"/>
      <c r="AB52" s="226"/>
      <c r="AC52" s="226"/>
      <c r="AD52" s="226"/>
      <c r="AE52" s="226"/>
      <c r="AF52" s="355"/>
      <c r="AG52" s="226" t="str">
        <f>IFERROR(IF(VLOOKUP(功能_33[[#This Row],[功能代號]],E:Q,11,FALSE)=0,"",VLOOKUP(功能_33[[#This Row],[功能代號]],E:Q,11,FALSE)),"")</f>
        <v>李珮君</v>
      </c>
      <c r="AH52" s="226"/>
      <c r="AI52" s="226"/>
      <c r="AJ52" s="307"/>
      <c r="AK52" s="228">
        <v>44494</v>
      </c>
      <c r="AL52" s="308" t="s">
        <v>199</v>
      </c>
      <c r="AN52" s="307" t="str">
        <f>VLOOKUP(功能_33[[#This Row],[功能代號]],工作表2!B:B,1,FALSE)</f>
        <v>L2017</v>
      </c>
    </row>
    <row r="53" spans="1:40" ht="14.25" hidden="1" customHeight="1">
      <c r="A53" s="224">
        <v>50</v>
      </c>
      <c r="B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07" t="s">
        <v>102</v>
      </c>
      <c r="D53" s="307" t="s">
        <v>298</v>
      </c>
      <c r="E53" s="308" t="s">
        <v>301</v>
      </c>
      <c r="F53" s="307" t="s">
        <v>302</v>
      </c>
      <c r="G53" s="307"/>
      <c r="H53" s="308" t="s">
        <v>203</v>
      </c>
      <c r="I53" s="308" t="s">
        <v>239</v>
      </c>
      <c r="J53" s="229"/>
      <c r="K53" s="226">
        <v>44433</v>
      </c>
      <c r="L53" s="226">
        <v>44432</v>
      </c>
      <c r="M53" s="226" t="str">
        <f>IFERROR(IF(VLOOKUP(功能_33[[#This Row],[功能代號]],討論項目!A:H,8,FALSE)=0,"",VLOOKUP(功能_33[[#This Row],[功能代號]],討論項目!A:H,8,FALSE)),"")</f>
        <v/>
      </c>
      <c r="N53" s="308" t="s">
        <v>10</v>
      </c>
      <c r="O53" s="308" t="s">
        <v>13</v>
      </c>
      <c r="P53" s="277" t="s">
        <v>240</v>
      </c>
      <c r="T53" s="308"/>
      <c r="V53" s="308"/>
      <c r="W53" s="308"/>
      <c r="X53" s="307" t="str">
        <f>VLOOKUP(功能_33[[#This Row],[User]],SKL放款!A:G,7,FALSE)</f>
        <v>放款推展課</v>
      </c>
      <c r="Y53" s="228">
        <f>IF(功能_33[[#This Row],[實際展示]]="","",功能_33[[#This Row],[實際展示]]+14)</f>
        <v>44446</v>
      </c>
      <c r="Z53" s="226" t="s">
        <v>205</v>
      </c>
      <c r="AA53" s="226">
        <v>44477</v>
      </c>
      <c r="AB53" s="226">
        <v>44477</v>
      </c>
      <c r="AC53" s="226"/>
      <c r="AD53" s="226" t="s">
        <v>198</v>
      </c>
      <c r="AE53" s="226"/>
      <c r="AF53" s="355"/>
      <c r="AG53" s="226" t="str">
        <f>IFERROR(IF(VLOOKUP(功能_33[[#This Row],[功能代號]],E:Q,11,FALSE)=0,"",VLOOKUP(功能_33[[#This Row],[功能代號]],E:Q,11,FALSE)),"")</f>
        <v>李珮君</v>
      </c>
      <c r="AH53" s="226"/>
      <c r="AI53" s="226"/>
      <c r="AJ53" s="307"/>
      <c r="AL53" s="308" t="s">
        <v>199</v>
      </c>
      <c r="AN53" s="307" t="e">
        <f>VLOOKUP(功能_33[[#This Row],[功能代號]],工作表2!B:B,1,FALSE)</f>
        <v>#N/A</v>
      </c>
    </row>
    <row r="54" spans="1:40" ht="14.25" hidden="1" customHeight="1">
      <c r="A54" s="224">
        <v>56</v>
      </c>
      <c r="B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07" t="s">
        <v>102</v>
      </c>
      <c r="D54" s="307" t="s">
        <v>274</v>
      </c>
      <c r="E54" s="308" t="s">
        <v>303</v>
      </c>
      <c r="F54" s="307" t="s">
        <v>304</v>
      </c>
      <c r="G54" s="307"/>
      <c r="H54" s="308" t="s">
        <v>203</v>
      </c>
      <c r="I54" s="308" t="s">
        <v>239</v>
      </c>
      <c r="J54" s="229"/>
      <c r="K54" s="226">
        <v>44434</v>
      </c>
      <c r="L54" s="226">
        <v>44433</v>
      </c>
      <c r="M54" s="226">
        <f>IFERROR(IF(VLOOKUP(功能_33[[#This Row],[功能代號]],討論項目!A:H,8,FALSE)=0,"",VLOOKUP(功能_33[[#This Row],[功能代號]],討論項目!A:H,8,FALSE)),"")</f>
        <v>44445</v>
      </c>
      <c r="N54" s="308" t="s">
        <v>10</v>
      </c>
      <c r="O54" s="308" t="s">
        <v>13</v>
      </c>
      <c r="P54" s="277" t="s">
        <v>240</v>
      </c>
      <c r="T54" s="308"/>
      <c r="V54" s="308"/>
      <c r="W54" s="308"/>
      <c r="X54" s="307" t="str">
        <f>VLOOKUP(功能_33[[#This Row],[User]],SKL放款!A:G,7,FALSE)</f>
        <v>放款推展課</v>
      </c>
      <c r="Y54" s="228">
        <f>IF(功能_33[[#This Row],[實際展示]]="","",功能_33[[#This Row],[實際展示]]+14)</f>
        <v>44447</v>
      </c>
      <c r="Z54" s="226" t="s">
        <v>213</v>
      </c>
      <c r="AA54" s="226"/>
      <c r="AB54" s="226"/>
      <c r="AC54" s="226"/>
      <c r="AD54" s="226"/>
      <c r="AE54" s="226"/>
      <c r="AF54" s="355"/>
      <c r="AG54" s="226" t="str">
        <f>IFERROR(IF(VLOOKUP(功能_33[[#This Row],[功能代號]],E:Q,11,FALSE)=0,"",VLOOKUP(功能_33[[#This Row],[功能代號]],E:Q,11,FALSE)),"")</f>
        <v>李珮君</v>
      </c>
      <c r="AH54" s="226"/>
      <c r="AI54" s="226"/>
      <c r="AJ54" s="307"/>
      <c r="AL54" s="308" t="s">
        <v>280</v>
      </c>
      <c r="AM54" s="307" t="s">
        <v>291</v>
      </c>
      <c r="AN54" s="307" t="str">
        <f>VLOOKUP(功能_33[[#This Row],[功能代號]],工作表2!B:B,1,FALSE)</f>
        <v>L2412</v>
      </c>
    </row>
    <row r="55" spans="1:40" ht="14.25" hidden="1" customHeight="1">
      <c r="A55" s="224">
        <v>57</v>
      </c>
      <c r="B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07" t="s">
        <v>102</v>
      </c>
      <c r="D55" s="307" t="s">
        <v>274</v>
      </c>
      <c r="E55" s="308" t="s">
        <v>305</v>
      </c>
      <c r="F55" s="307" t="s">
        <v>306</v>
      </c>
      <c r="G55" s="307"/>
      <c r="H55" s="308" t="s">
        <v>203</v>
      </c>
      <c r="I55" s="308" t="s">
        <v>239</v>
      </c>
      <c r="J55" s="229"/>
      <c r="K55" s="226">
        <v>44434</v>
      </c>
      <c r="L55" s="226">
        <v>44433</v>
      </c>
      <c r="M55" s="226" t="str">
        <f>IFERROR(IF(VLOOKUP(功能_33[[#This Row],[功能代號]],討論項目!A:H,8,FALSE)=0,"",VLOOKUP(功能_33[[#This Row],[功能代號]],討論項目!A:H,8,FALSE)),"")</f>
        <v/>
      </c>
      <c r="N55" s="308" t="s">
        <v>10</v>
      </c>
      <c r="O55" s="308" t="s">
        <v>13</v>
      </c>
      <c r="P55" s="277" t="s">
        <v>240</v>
      </c>
      <c r="T55" s="308"/>
      <c r="V55" s="308"/>
      <c r="W55" s="308"/>
      <c r="X55" s="307" t="str">
        <f>VLOOKUP(功能_33[[#This Row],[User]],SKL放款!A:G,7,FALSE)</f>
        <v>放款推展課</v>
      </c>
      <c r="Y55" s="228">
        <f>IF(功能_33[[#This Row],[實際展示]]="","",功能_33[[#This Row],[實際展示]]+14)</f>
        <v>44447</v>
      </c>
      <c r="Z55" s="226" t="s">
        <v>205</v>
      </c>
      <c r="AA55" s="226">
        <v>44477</v>
      </c>
      <c r="AB55" s="226">
        <v>44477</v>
      </c>
      <c r="AC55" s="226"/>
      <c r="AD55" s="226" t="s">
        <v>198</v>
      </c>
      <c r="AE55" s="226"/>
      <c r="AF55" s="355"/>
      <c r="AG55" s="226" t="str">
        <f>IFERROR(IF(VLOOKUP(功能_33[[#This Row],[功能代號]],E:Q,11,FALSE)=0,"",VLOOKUP(功能_33[[#This Row],[功能代號]],E:Q,11,FALSE)),"")</f>
        <v>李珮君</v>
      </c>
      <c r="AH55" s="226"/>
      <c r="AI55" s="226"/>
      <c r="AJ55" s="307"/>
      <c r="AL55" s="308" t="s">
        <v>199</v>
      </c>
      <c r="AN55" s="307" t="e">
        <f>VLOOKUP(功能_33[[#This Row],[功能代號]],工作表2!B:B,1,FALSE)</f>
        <v>#N/A</v>
      </c>
    </row>
    <row r="56" spans="1:40" ht="14.25" hidden="1" customHeight="1">
      <c r="A56" s="224">
        <v>59</v>
      </c>
      <c r="B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07" t="s">
        <v>102</v>
      </c>
      <c r="D56" s="307" t="s">
        <v>274</v>
      </c>
      <c r="E56" s="308" t="s">
        <v>307</v>
      </c>
      <c r="F56" s="307" t="s">
        <v>308</v>
      </c>
      <c r="G56" s="307"/>
      <c r="H56" s="308" t="s">
        <v>203</v>
      </c>
      <c r="I56" s="308" t="s">
        <v>239</v>
      </c>
      <c r="J56" s="229"/>
      <c r="K56" s="226">
        <v>44435</v>
      </c>
      <c r="L56" s="226">
        <v>44434</v>
      </c>
      <c r="M56" s="226">
        <f>IFERROR(IF(VLOOKUP(功能_33[[#This Row],[功能代號]],討論項目!A:H,8,FALSE)=0,"",VLOOKUP(功能_33[[#This Row],[功能代號]],討論項目!A:H,8,FALSE)),"")</f>
        <v>44435</v>
      </c>
      <c r="N56" s="308" t="s">
        <v>10</v>
      </c>
      <c r="O56" s="308" t="s">
        <v>27</v>
      </c>
      <c r="P56" s="277" t="s">
        <v>240</v>
      </c>
      <c r="T56" s="308"/>
      <c r="V56" s="308"/>
      <c r="W56" s="308"/>
      <c r="X56" s="307" t="str">
        <f>VLOOKUP(功能_33[[#This Row],[User]],SKL放款!A:G,7,FALSE)</f>
        <v>放款推展課</v>
      </c>
      <c r="Y56" s="228">
        <f>IF(功能_33[[#This Row],[實際展示]]="","",功能_33[[#This Row],[實際展示]]+14)</f>
        <v>44448</v>
      </c>
      <c r="Z56" s="226" t="s">
        <v>213</v>
      </c>
      <c r="AA56" s="226"/>
      <c r="AB56" s="226"/>
      <c r="AC56" s="226"/>
      <c r="AD56" s="226"/>
      <c r="AE56" s="226"/>
      <c r="AF56" s="355"/>
      <c r="AG56" s="226" t="str">
        <f>IFERROR(IF(VLOOKUP(功能_33[[#This Row],[功能代號]],E:Q,11,FALSE)=0,"",VLOOKUP(功能_33[[#This Row],[功能代號]],E:Q,11,FALSE)),"")</f>
        <v>李穎</v>
      </c>
      <c r="AH56" s="226"/>
      <c r="AI56" s="226"/>
      <c r="AJ56" s="307"/>
      <c r="AL56" s="308" t="s">
        <v>280</v>
      </c>
      <c r="AM56" s="307" t="s">
        <v>309</v>
      </c>
      <c r="AN56" s="307" t="str">
        <f>VLOOKUP(功能_33[[#This Row],[功能代號]],工作表2!B:B,1,FALSE)</f>
        <v>L2413</v>
      </c>
    </row>
    <row r="57" spans="1:40" ht="14.25" hidden="1" customHeight="1">
      <c r="A57" s="224">
        <v>60</v>
      </c>
      <c r="B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07" t="s">
        <v>102</v>
      </c>
      <c r="D57" s="307" t="s">
        <v>274</v>
      </c>
      <c r="E57" s="308" t="s">
        <v>310</v>
      </c>
      <c r="F57" s="307" t="s">
        <v>311</v>
      </c>
      <c r="G57" s="307"/>
      <c r="H57" s="308" t="s">
        <v>203</v>
      </c>
      <c r="I57" s="308" t="s">
        <v>239</v>
      </c>
      <c r="J57" s="229"/>
      <c r="K57" s="226">
        <v>44435</v>
      </c>
      <c r="L57" s="226">
        <v>44434</v>
      </c>
      <c r="M57" s="226">
        <f>IFERROR(IF(VLOOKUP(功能_33[[#This Row],[功能代號]],討論項目!A:H,8,FALSE)=0,"",VLOOKUP(功能_33[[#This Row],[功能代號]],討論項目!A:H,8,FALSE)),"")</f>
        <v>44441</v>
      </c>
      <c r="N57" s="308" t="s">
        <v>10</v>
      </c>
      <c r="O57" s="308" t="s">
        <v>27</v>
      </c>
      <c r="P57" s="277" t="s">
        <v>240</v>
      </c>
      <c r="T57" s="308"/>
      <c r="V57" s="308"/>
      <c r="W57" s="308"/>
      <c r="X57" s="307" t="str">
        <f>VLOOKUP(功能_33[[#This Row],[User]],SKL放款!A:G,7,FALSE)</f>
        <v>放款推展課</v>
      </c>
      <c r="Y57" s="228">
        <f>IF(功能_33[[#This Row],[實際展示]]="","",功能_33[[#This Row],[實際展示]]+14)</f>
        <v>44448</v>
      </c>
      <c r="Z57" s="226" t="s">
        <v>213</v>
      </c>
      <c r="AA57" s="226"/>
      <c r="AB57" s="226"/>
      <c r="AC57" s="226"/>
      <c r="AD57" s="226"/>
      <c r="AE57" s="226"/>
      <c r="AF57" s="355"/>
      <c r="AG57" s="226" t="str">
        <f>IFERROR(IF(VLOOKUP(功能_33[[#This Row],[功能代號]],E:Q,11,FALSE)=0,"",VLOOKUP(功能_33[[#This Row],[功能代號]],E:Q,11,FALSE)),"")</f>
        <v>李穎</v>
      </c>
      <c r="AH57" s="226"/>
      <c r="AI57" s="226"/>
      <c r="AJ57" s="307"/>
      <c r="AL57" s="308" t="s">
        <v>199</v>
      </c>
      <c r="AN57" s="307" t="str">
        <f>VLOOKUP(功能_33[[#This Row],[功能代號]],工作表2!B:B,1,FALSE)</f>
        <v>L2913</v>
      </c>
    </row>
    <row r="58" spans="1:40" ht="14.25" hidden="1" customHeight="1">
      <c r="A58" s="224">
        <v>61</v>
      </c>
      <c r="B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07" t="s">
        <v>102</v>
      </c>
      <c r="D58" s="307" t="s">
        <v>274</v>
      </c>
      <c r="E58" s="308" t="s">
        <v>312</v>
      </c>
      <c r="F58" s="307" t="s">
        <v>313</v>
      </c>
      <c r="G58" s="307"/>
      <c r="H58" s="308" t="s">
        <v>203</v>
      </c>
      <c r="I58" s="308" t="s">
        <v>239</v>
      </c>
      <c r="J58" s="229"/>
      <c r="K58" s="226">
        <v>44435</v>
      </c>
      <c r="L58" s="226">
        <v>44434</v>
      </c>
      <c r="M58" s="226">
        <f>IFERROR(IF(VLOOKUP(功能_33[[#This Row],[功能代號]],討論項目!A:H,8,FALSE)=0,"",VLOOKUP(功能_33[[#This Row],[功能代號]],討論項目!A:H,8,FALSE)),"")</f>
        <v>44445</v>
      </c>
      <c r="N58" s="308" t="s">
        <v>10</v>
      </c>
      <c r="O58" s="308" t="s">
        <v>27</v>
      </c>
      <c r="P58" s="277" t="s">
        <v>240</v>
      </c>
      <c r="T58" s="308"/>
      <c r="V58" s="308"/>
      <c r="W58" s="308"/>
      <c r="X58" s="307" t="str">
        <f>VLOOKUP(功能_33[[#This Row],[User]],SKL放款!A:G,7,FALSE)</f>
        <v>放款推展課</v>
      </c>
      <c r="Y58" s="228">
        <f>IF(功能_33[[#This Row],[實際展示]]="","",功能_33[[#This Row],[實際展示]]+14)</f>
        <v>44448</v>
      </c>
      <c r="Z58" s="226" t="s">
        <v>213</v>
      </c>
      <c r="AA58" s="226"/>
      <c r="AB58" s="226"/>
      <c r="AC58" s="226"/>
      <c r="AD58" s="226"/>
      <c r="AE58" s="226"/>
      <c r="AF58" s="355"/>
      <c r="AG58" s="226" t="str">
        <f>IFERROR(IF(VLOOKUP(功能_33[[#This Row],[功能代號]],E:Q,11,FALSE)=0,"",VLOOKUP(功能_33[[#This Row],[功能代號]],E:Q,11,FALSE)),"")</f>
        <v>李穎</v>
      </c>
      <c r="AH58" s="226"/>
      <c r="AI58" s="226"/>
      <c r="AJ58" s="307"/>
      <c r="AL58" s="308" t="s">
        <v>199</v>
      </c>
      <c r="AN58" s="307" t="str">
        <f>VLOOKUP(功能_33[[#This Row],[功能代號]],工作表2!B:B,1,FALSE)</f>
        <v>L2414</v>
      </c>
    </row>
    <row r="59" spans="1:40" ht="14.25" hidden="1" customHeight="1">
      <c r="A59" s="224">
        <v>62</v>
      </c>
      <c r="B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07" t="s">
        <v>102</v>
      </c>
      <c r="D59" s="307" t="s">
        <v>274</v>
      </c>
      <c r="E59" s="308" t="s">
        <v>314</v>
      </c>
      <c r="F59" s="307" t="s">
        <v>315</v>
      </c>
      <c r="G59" s="307"/>
      <c r="H59" s="308" t="s">
        <v>203</v>
      </c>
      <c r="I59" s="308" t="s">
        <v>239</v>
      </c>
      <c r="J59" s="229"/>
      <c r="K59" s="226">
        <v>44435</v>
      </c>
      <c r="L59" s="226">
        <v>44434</v>
      </c>
      <c r="M59" s="226" t="str">
        <f>IFERROR(IF(VLOOKUP(功能_33[[#This Row],[功能代號]],討論項目!A:H,8,FALSE)=0,"",VLOOKUP(功能_33[[#This Row],[功能代號]],討論項目!A:H,8,FALSE)),"")</f>
        <v/>
      </c>
      <c r="N59" s="308" t="s">
        <v>10</v>
      </c>
      <c r="O59" s="308" t="s">
        <v>27</v>
      </c>
      <c r="P59" s="277" t="s">
        <v>240</v>
      </c>
      <c r="T59" s="308"/>
      <c r="V59" s="308"/>
      <c r="W59" s="308"/>
      <c r="X59" s="307" t="str">
        <f>VLOOKUP(功能_33[[#This Row],[User]],SKL放款!A:G,7,FALSE)</f>
        <v>放款推展課</v>
      </c>
      <c r="Y59" s="228">
        <f>IF(功能_33[[#This Row],[實際展示]]="","",功能_33[[#This Row],[實際展示]]+14)</f>
        <v>44448</v>
      </c>
      <c r="Z59" s="226" t="s">
        <v>205</v>
      </c>
      <c r="AA59" s="226">
        <v>44477</v>
      </c>
      <c r="AB59" s="226">
        <v>44477</v>
      </c>
      <c r="AC59" s="226"/>
      <c r="AD59" s="226" t="s">
        <v>198</v>
      </c>
      <c r="AE59" s="226"/>
      <c r="AF59" s="355"/>
      <c r="AG59" s="226" t="str">
        <f>IFERROR(IF(VLOOKUP(功能_33[[#This Row],[功能代號]],E:Q,11,FALSE)=0,"",VLOOKUP(功能_33[[#This Row],[功能代號]],E:Q,11,FALSE)),"")</f>
        <v>李穎</v>
      </c>
      <c r="AH59" s="226"/>
      <c r="AI59" s="226"/>
      <c r="AJ59" s="307"/>
      <c r="AL59" s="308" t="s">
        <v>199</v>
      </c>
      <c r="AN59" s="307" t="e">
        <f>VLOOKUP(功能_33[[#This Row],[功能代號]],工作表2!B:B,1,FALSE)</f>
        <v>#N/A</v>
      </c>
    </row>
    <row r="60" spans="1:40" ht="14.25" hidden="1" customHeight="1">
      <c r="A60" s="224">
        <v>63</v>
      </c>
      <c r="B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07" t="s">
        <v>102</v>
      </c>
      <c r="D60" s="307" t="s">
        <v>316</v>
      </c>
      <c r="E60" s="308" t="s">
        <v>317</v>
      </c>
      <c r="F60" s="307" t="s">
        <v>318</v>
      </c>
      <c r="G60" s="307"/>
      <c r="H60" s="308" t="s">
        <v>203</v>
      </c>
      <c r="I60" s="308" t="s">
        <v>239</v>
      </c>
      <c r="J60" s="229" t="s">
        <v>209</v>
      </c>
      <c r="K60" s="226">
        <v>44434</v>
      </c>
      <c r="L60" s="226">
        <v>44434</v>
      </c>
      <c r="M60" s="226" t="str">
        <f>IFERROR(IF(VLOOKUP(功能_33[[#This Row],[功能代號]],討論項目!A:H,8,FALSE)=0,"",VLOOKUP(功能_33[[#This Row],[功能代號]],討論項目!A:H,8,FALSE)),"")</f>
        <v/>
      </c>
      <c r="N60" s="308" t="s">
        <v>12</v>
      </c>
      <c r="O60" s="308" t="s">
        <v>180</v>
      </c>
      <c r="P60" s="277" t="s">
        <v>319</v>
      </c>
      <c r="T60" s="308"/>
      <c r="V60" s="308"/>
      <c r="W60" s="308"/>
      <c r="X60" s="307" t="str">
        <f>VLOOKUP(功能_33[[#This Row],[User]],SKL放款!A:G,7,FALSE)</f>
        <v>放款服務課</v>
      </c>
      <c r="Y60" s="228">
        <f>IF(功能_33[[#This Row],[實際展示]]="","",功能_33[[#This Row],[實際展示]]+14)</f>
        <v>44448</v>
      </c>
      <c r="Z60" s="226">
        <v>44470</v>
      </c>
      <c r="AA60" s="226">
        <f>IF(功能_33[[#This Row],[URS交二審]]=0,"",功能_33[[#This Row],[URS交二審]]+7)</f>
        <v>44477</v>
      </c>
      <c r="AB60" s="226">
        <f>IF(功能_33[[#This Row],[URS交二審]]=0,"",功能_33[[#This Row],[URS交二審]]+7)</f>
        <v>44477</v>
      </c>
      <c r="AC60" s="226"/>
      <c r="AD60" s="226" t="s">
        <v>198</v>
      </c>
      <c r="AE60" s="226"/>
      <c r="AF60" s="355"/>
      <c r="AG60" s="226" t="str">
        <f>IFERROR(IF(VLOOKUP(功能_33[[#This Row],[功能代號]],E:Q,11,FALSE)=0,"",VLOOKUP(功能_33[[#This Row],[功能代號]],E:Q,11,FALSE)),"")</f>
        <v>陳政皓</v>
      </c>
      <c r="AH60" s="226"/>
      <c r="AI60" s="226"/>
      <c r="AJ60" s="307"/>
      <c r="AL60" s="308">
        <v>231</v>
      </c>
      <c r="AM60" s="307" t="s">
        <v>320</v>
      </c>
      <c r="AN60" s="307" t="str">
        <f>VLOOKUP(功能_33[[#This Row],[功能代號]],工作表2!B:B,1,FALSE)</f>
        <v>L2702</v>
      </c>
    </row>
    <row r="61" spans="1:40" ht="14.25" hidden="1" customHeight="1">
      <c r="A61" s="224">
        <v>64</v>
      </c>
      <c r="B61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07" t="s">
        <v>102</v>
      </c>
      <c r="D61" s="307" t="s">
        <v>316</v>
      </c>
      <c r="E61" s="308" t="s">
        <v>321</v>
      </c>
      <c r="F61" s="307" t="s">
        <v>322</v>
      </c>
      <c r="G61" s="307"/>
      <c r="H61" s="308" t="s">
        <v>203</v>
      </c>
      <c r="I61" s="308" t="s">
        <v>239</v>
      </c>
      <c r="J61" s="229" t="s">
        <v>209</v>
      </c>
      <c r="K61" s="226">
        <v>44434</v>
      </c>
      <c r="L61" s="226">
        <v>44434</v>
      </c>
      <c r="M61" s="226">
        <f>IFERROR(IF(VLOOKUP(功能_33[[#This Row],[功能代號]],討論項目!A:H,8,FALSE)=0,"",VLOOKUP(功能_33[[#This Row],[功能代號]],討論項目!A:H,8,FALSE)),"")</f>
        <v>44441</v>
      </c>
      <c r="N61" s="308" t="s">
        <v>12</v>
      </c>
      <c r="O61" s="308" t="s">
        <v>180</v>
      </c>
      <c r="P61" s="277" t="s">
        <v>319</v>
      </c>
      <c r="T61" s="308"/>
      <c r="V61" s="308"/>
      <c r="W61" s="308"/>
      <c r="X61" s="307" t="str">
        <f>VLOOKUP(功能_33[[#This Row],[User]],SKL放款!A:G,7,FALSE)</f>
        <v>放款服務課</v>
      </c>
      <c r="Y61" s="228">
        <f>IF(功能_33[[#This Row],[實際展示]]="","",功能_33[[#This Row],[實際展示]]+14)</f>
        <v>44448</v>
      </c>
      <c r="Z61" s="226">
        <v>44470</v>
      </c>
      <c r="AA61" s="226">
        <f>IF(功能_33[[#This Row],[URS交二審]]=0,"",功能_33[[#This Row],[URS交二審]]+7)</f>
        <v>44477</v>
      </c>
      <c r="AB61" s="226">
        <f>IF(功能_33[[#This Row],[URS交二審]]=0,"",功能_33[[#This Row],[URS交二審]]+7)</f>
        <v>44477</v>
      </c>
      <c r="AC61" s="226"/>
      <c r="AD61" s="226" t="s">
        <v>198</v>
      </c>
      <c r="AE61" s="226"/>
      <c r="AF61" s="355"/>
      <c r="AG61" s="226" t="str">
        <f>IFERROR(IF(VLOOKUP(功能_33[[#This Row],[功能代號]],E:Q,11,FALSE)=0,"",VLOOKUP(功能_33[[#This Row],[功能代號]],E:Q,11,FALSE)),"")</f>
        <v>陳政皓</v>
      </c>
      <c r="AH61" s="226"/>
      <c r="AI61" s="226"/>
      <c r="AJ61" s="307"/>
      <c r="AL61" s="308">
        <v>209</v>
      </c>
      <c r="AM61" s="307" t="s">
        <v>323</v>
      </c>
      <c r="AN61" s="307" t="str">
        <f>VLOOKUP(功能_33[[#This Row],[功能代號]],工作表2!B:B,1,FALSE)</f>
        <v>L2072</v>
      </c>
    </row>
    <row r="62" spans="1:40" ht="14.25" hidden="1" customHeight="1">
      <c r="A62" s="224">
        <v>65</v>
      </c>
      <c r="B62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07" t="s">
        <v>103</v>
      </c>
      <c r="D62" s="307"/>
      <c r="E62" s="308" t="s">
        <v>324</v>
      </c>
      <c r="F62" s="307" t="s">
        <v>325</v>
      </c>
      <c r="G62" s="307"/>
      <c r="H62" s="308" t="s">
        <v>203</v>
      </c>
      <c r="I62" s="308" t="s">
        <v>204</v>
      </c>
      <c r="J62" s="229" t="s">
        <v>326</v>
      </c>
      <c r="K62" s="226">
        <v>44438</v>
      </c>
      <c r="L62" s="226">
        <v>44435</v>
      </c>
      <c r="M62" s="226" t="str">
        <f>IFERROR(IF(VLOOKUP(功能_33[[#This Row],[功能代號]],討論項目!A:H,8,FALSE)=0,"",VLOOKUP(功能_33[[#This Row],[功能代號]],討論項目!A:H,8,FALSE)),"")</f>
        <v/>
      </c>
      <c r="N62" s="308" t="s">
        <v>8</v>
      </c>
      <c r="O62" s="308" t="s">
        <v>180</v>
      </c>
      <c r="P62" s="277" t="s">
        <v>13</v>
      </c>
      <c r="T62" s="308"/>
      <c r="V62" s="308"/>
      <c r="W62" s="308"/>
      <c r="X62" s="307" t="str">
        <f>VLOOKUP(功能_33[[#This Row],[User]],SKL放款!A:G,7,FALSE)</f>
        <v>放款服務課</v>
      </c>
      <c r="Y62" s="228">
        <f>IF(功能_33[[#This Row],[實際展示]]="","",功能_33[[#This Row],[實際展示]]+14)</f>
        <v>44449</v>
      </c>
      <c r="Z62" s="226">
        <v>44488</v>
      </c>
      <c r="AA62" s="226">
        <v>44496</v>
      </c>
      <c r="AB62" s="226">
        <v>44496</v>
      </c>
      <c r="AC62" s="226">
        <v>44512</v>
      </c>
      <c r="AD62" s="226" t="s">
        <v>198</v>
      </c>
      <c r="AE62" s="226"/>
      <c r="AF62" s="355"/>
      <c r="AG62" s="226" t="str">
        <f>IFERROR(IF(VLOOKUP(功能_33[[#This Row],[功能代號]],E:Q,11,FALSE)=0,"",VLOOKUP(功能_33[[#This Row],[功能代號]],E:Q,11,FALSE)),"")</f>
        <v>陳政皓</v>
      </c>
      <c r="AH62" s="226"/>
      <c r="AI62" s="226"/>
      <c r="AJ62" s="307"/>
      <c r="AK62" s="307"/>
      <c r="AL62" s="308">
        <v>305</v>
      </c>
      <c r="AM62" s="307" t="s">
        <v>327</v>
      </c>
      <c r="AN62" s="307" t="e">
        <f>VLOOKUP(功能_33[[#This Row],[功能代號]],工作表2!B:B,1,FALSE)</f>
        <v>#N/A</v>
      </c>
    </row>
    <row r="63" spans="1:40" ht="14.25" customHeight="1">
      <c r="A63" s="224">
        <v>66</v>
      </c>
      <c r="B63" s="307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07" t="s">
        <v>108</v>
      </c>
      <c r="D63" s="307"/>
      <c r="E63" s="308" t="s">
        <v>328</v>
      </c>
      <c r="F63" s="307" t="s">
        <v>329</v>
      </c>
      <c r="G63" s="307"/>
      <c r="H63" s="308" t="s">
        <v>203</v>
      </c>
      <c r="I63" s="308" t="s">
        <v>330</v>
      </c>
      <c r="J63" s="229" t="s">
        <v>2847</v>
      </c>
      <c r="K63" s="226">
        <v>44438</v>
      </c>
      <c r="L63" s="226">
        <v>44435</v>
      </c>
      <c r="M63" s="226" t="str">
        <f>IFERROR(IF(VLOOKUP(功能_33[[#This Row],[功能代號]],討論項目!A:H,8,FALSE)=0,"",VLOOKUP(功能_33[[#This Row],[功能代號]],討論項目!A:H,8,FALSE)),"")</f>
        <v/>
      </c>
      <c r="N63" s="308" t="s">
        <v>8</v>
      </c>
      <c r="O63" s="308" t="s">
        <v>180</v>
      </c>
      <c r="P63" s="277" t="s">
        <v>331</v>
      </c>
      <c r="T63" s="308"/>
      <c r="V63" s="308"/>
      <c r="W63" s="308"/>
      <c r="X63" s="307" t="str">
        <f>VLOOKUP(功能_33[[#This Row],[User]],SKL放款!A:G,7,FALSE)</f>
        <v>放款服務課</v>
      </c>
      <c r="Y63" s="228">
        <f>IF(功能_33[[#This Row],[實際展示]]="","",功能_33[[#This Row],[實際展示]]+14)</f>
        <v>44449</v>
      </c>
      <c r="Z63" s="226" t="s">
        <v>2808</v>
      </c>
      <c r="AA63" s="226"/>
      <c r="AB63" s="226"/>
      <c r="AC63" s="226"/>
      <c r="AD63" s="226"/>
      <c r="AE63" s="226"/>
      <c r="AF63" s="355"/>
      <c r="AG63" s="226" t="str">
        <f>IFERROR(IF(VLOOKUP(功能_33[[#This Row],[功能代號]],E:Q,11,FALSE)=0,"",VLOOKUP(功能_33[[#This Row],[功能代號]],E:Q,11,FALSE)),"")</f>
        <v>陳政皓</v>
      </c>
      <c r="AH63" s="226"/>
      <c r="AI63" s="226"/>
      <c r="AJ63" s="307"/>
      <c r="AK63" s="307"/>
      <c r="AL63" s="410" t="s">
        <v>332</v>
      </c>
      <c r="AM63" s="411" t="s">
        <v>333</v>
      </c>
      <c r="AN63" s="307" t="str">
        <f>VLOOKUP(功能_33[[#This Row],[功能代號]],工作表2!B:B,1,FALSE)</f>
        <v>L9110</v>
      </c>
    </row>
    <row r="64" spans="1:40" ht="14.25" hidden="1" customHeight="1">
      <c r="A64" s="224">
        <v>77</v>
      </c>
      <c r="B64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07" t="s">
        <v>103</v>
      </c>
      <c r="D64" s="307"/>
      <c r="E64" s="308" t="s">
        <v>334</v>
      </c>
      <c r="F64" s="307" t="s">
        <v>335</v>
      </c>
      <c r="G64" s="307"/>
      <c r="H64" s="308" t="s">
        <v>203</v>
      </c>
      <c r="I64" s="308" t="s">
        <v>204</v>
      </c>
      <c r="J64" s="229"/>
      <c r="K64" s="226">
        <v>44439</v>
      </c>
      <c r="L64" s="226">
        <v>44439</v>
      </c>
      <c r="M64" s="226" t="str">
        <f>IFERROR(IF(VLOOKUP(功能_33[[#This Row],[功能代號]],討論項目!A:H,8,FALSE)=0,"",VLOOKUP(功能_33[[#This Row],[功能代號]],討論項目!A:H,8,FALSE)),"")</f>
        <v/>
      </c>
      <c r="N64" s="308" t="s">
        <v>12</v>
      </c>
      <c r="O64" s="308" t="s">
        <v>18</v>
      </c>
      <c r="T64" s="308"/>
      <c r="V64" s="308"/>
      <c r="W64" s="308"/>
      <c r="X64" s="307" t="str">
        <f>VLOOKUP(功能_33[[#This Row],[User]],SKL放款!A:G,7,FALSE)</f>
        <v>放款服務課</v>
      </c>
      <c r="Y64" s="228">
        <f>IF(功能_33[[#This Row],[實際展示]]="","",功能_33[[#This Row],[實際展示]]+14)</f>
        <v>44453</v>
      </c>
      <c r="Z64" s="226" t="s">
        <v>2809</v>
      </c>
      <c r="AA64" s="226">
        <v>44496</v>
      </c>
      <c r="AB64" s="226">
        <v>44496</v>
      </c>
      <c r="AC64" s="226">
        <v>44512</v>
      </c>
      <c r="AD64" s="226" t="s">
        <v>198</v>
      </c>
      <c r="AE64" s="226"/>
      <c r="AF64" s="355"/>
      <c r="AG64" s="226" t="str">
        <f>IFERROR(IF(VLOOKUP(功能_33[[#This Row],[功能代號]],E:Q,11,FALSE)=0,"",VLOOKUP(功能_33[[#This Row],[功能代號]],E:Q,11,FALSE)),"")</f>
        <v>尹少玄</v>
      </c>
      <c r="AH64" s="226"/>
      <c r="AI64" s="226"/>
      <c r="AJ64" s="307"/>
      <c r="AK64" s="307"/>
      <c r="AL64" s="308" t="s">
        <v>199</v>
      </c>
      <c r="AN64" s="307" t="e">
        <f>VLOOKUP(功能_33[[#This Row],[功能代號]],工作表2!B:B,1,FALSE)</f>
        <v>#N/A</v>
      </c>
    </row>
    <row r="65" spans="1:40" ht="14.25" hidden="1" customHeight="1">
      <c r="A65" s="224">
        <v>78</v>
      </c>
      <c r="B65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07" t="s">
        <v>103</v>
      </c>
      <c r="D65" s="307"/>
      <c r="E65" s="308" t="s">
        <v>336</v>
      </c>
      <c r="F65" s="307" t="s">
        <v>337</v>
      </c>
      <c r="G65" s="307"/>
      <c r="H65" s="308" t="s">
        <v>203</v>
      </c>
      <c r="I65" s="308" t="s">
        <v>204</v>
      </c>
      <c r="J65" s="229"/>
      <c r="K65" s="226">
        <v>44439</v>
      </c>
      <c r="L65" s="226">
        <v>44439</v>
      </c>
      <c r="M65" s="226">
        <f>IFERROR(IF(VLOOKUP(功能_33[[#This Row],[功能代號]],討論項目!A:H,8,FALSE)=0,"",VLOOKUP(功能_33[[#This Row],[功能代號]],討論項目!A:H,8,FALSE)),"")</f>
        <v>44490</v>
      </c>
      <c r="N65" s="308" t="s">
        <v>12</v>
      </c>
      <c r="O65" s="308" t="s">
        <v>18</v>
      </c>
      <c r="T65" s="308"/>
      <c r="V65" s="308"/>
      <c r="W65" s="308"/>
      <c r="X65" s="307" t="str">
        <f>VLOOKUP(功能_33[[#This Row],[User]],SKL放款!A:G,7,FALSE)</f>
        <v>放款服務課</v>
      </c>
      <c r="Y65" s="228">
        <f>IF(功能_33[[#This Row],[實際展示]]="","",功能_33[[#This Row],[實際展示]]+14)</f>
        <v>44453</v>
      </c>
      <c r="Z65" s="226" t="s">
        <v>2808</v>
      </c>
      <c r="AA65" s="226">
        <v>44496</v>
      </c>
      <c r="AB65" s="226">
        <v>44496</v>
      </c>
      <c r="AC65" s="226">
        <v>44512</v>
      </c>
      <c r="AD65" s="226" t="s">
        <v>198</v>
      </c>
      <c r="AE65" s="226"/>
      <c r="AF65" s="355"/>
      <c r="AG65" s="226" t="str">
        <f>IFERROR(IF(VLOOKUP(功能_33[[#This Row],[功能代號]],E:Q,11,FALSE)=0,"",VLOOKUP(功能_33[[#This Row],[功能代號]],E:Q,11,FALSE)),"")</f>
        <v>尹少玄</v>
      </c>
      <c r="AH65" s="226"/>
      <c r="AI65" s="226"/>
      <c r="AJ65" s="307"/>
      <c r="AK65" s="307"/>
      <c r="AL65" s="308" t="s">
        <v>199</v>
      </c>
      <c r="AN65" s="307" t="str">
        <f>VLOOKUP(功能_33[[#This Row],[功能代號]],工作表2!B:B,1,FALSE)</f>
        <v>L3110</v>
      </c>
    </row>
    <row r="66" spans="1:40" ht="14.25" hidden="1" customHeight="1">
      <c r="A66" s="224">
        <v>79</v>
      </c>
      <c r="B66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07" t="s">
        <v>103</v>
      </c>
      <c r="D66" s="307"/>
      <c r="E66" s="308" t="s">
        <v>338</v>
      </c>
      <c r="F66" s="307" t="s">
        <v>339</v>
      </c>
      <c r="G66" s="307"/>
      <c r="H66" s="308" t="s">
        <v>203</v>
      </c>
      <c r="I66" s="308" t="s">
        <v>204</v>
      </c>
      <c r="J66" s="229"/>
      <c r="K66" s="226">
        <v>44439</v>
      </c>
      <c r="L66" s="226">
        <v>44439</v>
      </c>
      <c r="M66" s="226" t="str">
        <f>IFERROR(IF(VLOOKUP(功能_33[[#This Row],[功能代號]],討論項目!A:H,8,FALSE)=0,"",VLOOKUP(功能_33[[#This Row],[功能代號]],討論項目!A:H,8,FALSE)),"")</f>
        <v/>
      </c>
      <c r="N66" s="308" t="s">
        <v>12</v>
      </c>
      <c r="O66" s="308" t="s">
        <v>18</v>
      </c>
      <c r="T66" s="308"/>
      <c r="V66" s="308"/>
      <c r="W66" s="308"/>
      <c r="X66" s="307" t="str">
        <f>VLOOKUP(功能_33[[#This Row],[User]],SKL放款!A:G,7,FALSE)</f>
        <v>放款服務課</v>
      </c>
      <c r="Y66" s="228">
        <f>IF(功能_33[[#This Row],[實際展示]]="","",功能_33[[#This Row],[實際展示]]+14)</f>
        <v>44453</v>
      </c>
      <c r="Z66" s="226" t="s">
        <v>2809</v>
      </c>
      <c r="AA66" s="226">
        <v>44496</v>
      </c>
      <c r="AB66" s="226">
        <v>44496</v>
      </c>
      <c r="AC66" s="226">
        <v>44512</v>
      </c>
      <c r="AD66" s="226" t="s">
        <v>198</v>
      </c>
      <c r="AE66" s="226"/>
      <c r="AF66" s="355"/>
      <c r="AG66" s="226" t="str">
        <f>IFERROR(IF(VLOOKUP(功能_33[[#This Row],[功能代號]],E:Q,11,FALSE)=0,"",VLOOKUP(功能_33[[#This Row],[功能代號]],E:Q,11,FALSE)),"")</f>
        <v>尹少玄</v>
      </c>
      <c r="AH66" s="226"/>
      <c r="AI66" s="226"/>
      <c r="AJ66" s="307"/>
      <c r="AK66" s="307"/>
      <c r="AL66" s="308" t="s">
        <v>199</v>
      </c>
      <c r="AN66" s="307" t="e">
        <f>VLOOKUP(功能_33[[#This Row],[功能代號]],工作表2!B:B,1,FALSE)</f>
        <v>#N/A</v>
      </c>
    </row>
    <row r="67" spans="1:40" ht="14.25" hidden="1" customHeight="1">
      <c r="A67" s="224">
        <v>80</v>
      </c>
      <c r="B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07" t="s">
        <v>106</v>
      </c>
      <c r="D67" s="307"/>
      <c r="E67" s="308" t="s">
        <v>340</v>
      </c>
      <c r="F67" s="307" t="s">
        <v>341</v>
      </c>
      <c r="G67" s="307"/>
      <c r="H67" s="308" t="s">
        <v>203</v>
      </c>
      <c r="I67" s="308" t="s">
        <v>204</v>
      </c>
      <c r="J67" s="229"/>
      <c r="K67" s="226">
        <v>44439</v>
      </c>
      <c r="L67" s="226">
        <v>44439</v>
      </c>
      <c r="M67" s="226" t="str">
        <f>IFERROR(IF(VLOOKUP(功能_33[[#This Row],[功能代號]],討論項目!A:H,8,FALSE)=0,"",VLOOKUP(功能_33[[#This Row],[功能代號]],討論項目!A:H,8,FALSE)),"")</f>
        <v/>
      </c>
      <c r="N67" s="308" t="s">
        <v>12</v>
      </c>
      <c r="O67" s="308" t="s">
        <v>18</v>
      </c>
      <c r="T67" s="308"/>
      <c r="V67" s="308"/>
      <c r="W67" s="308"/>
      <c r="X67" s="307" t="str">
        <f>VLOOKUP(功能_33[[#This Row],[User]],SKL放款!A:G,7,FALSE)</f>
        <v>放款服務課</v>
      </c>
      <c r="Y67" s="228">
        <f>IF(功能_33[[#This Row],[實際展示]]="","",功能_33[[#This Row],[實際展示]]+14)</f>
        <v>44453</v>
      </c>
      <c r="Z67" s="226" t="s">
        <v>2808</v>
      </c>
      <c r="AA67" s="226"/>
      <c r="AB67" s="226"/>
      <c r="AC67" s="226"/>
      <c r="AD67" s="226"/>
      <c r="AE67" s="226"/>
      <c r="AF67" s="355"/>
      <c r="AG67" s="226" t="str">
        <f>IFERROR(IF(VLOOKUP(功能_33[[#This Row],[功能代號]],E:Q,11,FALSE)=0,"",VLOOKUP(功能_33[[#This Row],[功能代號]],E:Q,11,FALSE)),"")</f>
        <v>尹少玄</v>
      </c>
      <c r="AH67" s="226"/>
      <c r="AI67" s="226"/>
      <c r="AJ67" s="307"/>
      <c r="AK67" s="307"/>
      <c r="AN67" s="307" t="str">
        <f>VLOOKUP(功能_33[[#This Row],[功能代號]],工作表2!B:B,1,FALSE)</f>
        <v>L6984</v>
      </c>
    </row>
    <row r="68" spans="1:40" ht="14.25" hidden="1" customHeight="1">
      <c r="A68" s="224">
        <v>67</v>
      </c>
      <c r="B68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07" t="s">
        <v>103</v>
      </c>
      <c r="D68" s="307"/>
      <c r="E68" s="308" t="s">
        <v>342</v>
      </c>
      <c r="F68" s="307" t="s">
        <v>343</v>
      </c>
      <c r="G68" s="307"/>
      <c r="H68" s="308" t="s">
        <v>203</v>
      </c>
      <c r="I68" s="308" t="s">
        <v>204</v>
      </c>
      <c r="J68" s="229" t="s">
        <v>326</v>
      </c>
      <c r="K68" s="226">
        <v>44440</v>
      </c>
      <c r="L68" s="226">
        <v>44438</v>
      </c>
      <c r="M68" s="226">
        <f>IFERROR(IF(VLOOKUP(功能_33[[#This Row],[功能代號]],討論項目!A:H,8,FALSE)=0,"",VLOOKUP(功能_33[[#This Row],[功能代號]],討論項目!A:H,8,FALSE)),"")</f>
        <v>44428</v>
      </c>
      <c r="N68" s="308" t="s">
        <v>12</v>
      </c>
      <c r="O68" s="308" t="s">
        <v>18</v>
      </c>
      <c r="T68" s="308"/>
      <c r="V68" s="308"/>
      <c r="W68" s="308"/>
      <c r="X68" s="307" t="str">
        <f>VLOOKUP(功能_33[[#This Row],[User]],SKL放款!A:G,7,FALSE)</f>
        <v>放款服務課</v>
      </c>
      <c r="Y68" s="228">
        <f>IF(功能_33[[#This Row],[實際展示]]="","",功能_33[[#This Row],[實際展示]]+14)</f>
        <v>44452</v>
      </c>
      <c r="Z68" s="226">
        <v>44488</v>
      </c>
      <c r="AA68" s="226">
        <v>44496</v>
      </c>
      <c r="AB68" s="226">
        <v>44496</v>
      </c>
      <c r="AC68" s="226">
        <v>44512</v>
      </c>
      <c r="AD68" s="226" t="s">
        <v>198</v>
      </c>
      <c r="AE68" s="226"/>
      <c r="AF68" s="355"/>
      <c r="AG68" s="226" t="str">
        <f>IFERROR(IF(VLOOKUP(功能_33[[#This Row],[功能代號]],E:Q,11,FALSE)=0,"",VLOOKUP(功能_33[[#This Row],[功能代號]],E:Q,11,FALSE)),"")</f>
        <v>尹少玄</v>
      </c>
      <c r="AH68" s="226"/>
      <c r="AI68" s="226"/>
      <c r="AJ68" s="307"/>
      <c r="AK68" s="228" t="s">
        <v>344</v>
      </c>
      <c r="AL68" s="308">
        <v>325</v>
      </c>
      <c r="AM68" s="307" t="s">
        <v>345</v>
      </c>
      <c r="AN68" s="307" t="str">
        <f>VLOOKUP(功能_33[[#This Row],[功能代號]],工作表2!B:B,1,FALSE)</f>
        <v>L3100</v>
      </c>
    </row>
    <row r="69" spans="1:40" ht="14.25" hidden="1" customHeight="1">
      <c r="A69" s="224">
        <v>68</v>
      </c>
      <c r="B69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07" t="s">
        <v>103</v>
      </c>
      <c r="D69" s="307"/>
      <c r="E69" s="308" t="s">
        <v>346</v>
      </c>
      <c r="F69" s="307" t="s">
        <v>347</v>
      </c>
      <c r="G69" s="307"/>
      <c r="H69" s="308" t="s">
        <v>203</v>
      </c>
      <c r="I69" s="308" t="s">
        <v>204</v>
      </c>
      <c r="J69" s="229" t="s">
        <v>326</v>
      </c>
      <c r="K69" s="226">
        <v>44440</v>
      </c>
      <c r="L69" s="226">
        <v>44438</v>
      </c>
      <c r="M69" s="226">
        <f>IFERROR(IF(VLOOKUP(功能_33[[#This Row],[功能代號]],討論項目!A:H,8,FALSE)=0,"",VLOOKUP(功能_33[[#This Row],[功能代號]],討論項目!A:H,8,FALSE)),"")</f>
        <v>44487</v>
      </c>
      <c r="N69" s="308" t="s">
        <v>12</v>
      </c>
      <c r="O69" s="308" t="s">
        <v>11</v>
      </c>
      <c r="T69" s="308"/>
      <c r="V69" s="308"/>
      <c r="W69" s="308"/>
      <c r="X69" s="307" t="str">
        <f>VLOOKUP(功能_33[[#This Row],[User]],SKL放款!A:G,7,FALSE)</f>
        <v>放款服務課</v>
      </c>
      <c r="Y69" s="228">
        <f>IF(功能_33[[#This Row],[實際展示]]="","",功能_33[[#This Row],[實際展示]]+14)</f>
        <v>44452</v>
      </c>
      <c r="Z69" s="226">
        <v>44488</v>
      </c>
      <c r="AA69" s="226">
        <v>44496</v>
      </c>
      <c r="AB69" s="226">
        <v>44496</v>
      </c>
      <c r="AC69" s="226">
        <v>44512</v>
      </c>
      <c r="AD69" s="226" t="s">
        <v>198</v>
      </c>
      <c r="AE69" s="226"/>
      <c r="AF69" s="355"/>
      <c r="AG69" s="226" t="str">
        <f>IFERROR(IF(VLOOKUP(功能_33[[#This Row],[功能代號]],E:Q,11,FALSE)=0,"",VLOOKUP(功能_33[[#This Row],[功能代號]],E:Q,11,FALSE)),"")</f>
        <v>蔡珮瑜</v>
      </c>
      <c r="AH69" s="226"/>
      <c r="AI69" s="226"/>
      <c r="AJ69" s="307"/>
      <c r="AK69" s="307"/>
      <c r="AL69" s="308">
        <v>320</v>
      </c>
      <c r="AM69" s="307" t="s">
        <v>348</v>
      </c>
      <c r="AN69" s="307" t="str">
        <f>VLOOKUP(功能_33[[#This Row],[功能代號]],工作表2!B:B,1,FALSE)</f>
        <v>L3002</v>
      </c>
    </row>
    <row r="70" spans="1:40" ht="14.25" hidden="1" customHeight="1">
      <c r="A70" s="224">
        <v>69</v>
      </c>
      <c r="B70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07" t="s">
        <v>103</v>
      </c>
      <c r="D70" s="307"/>
      <c r="E70" s="308" t="s">
        <v>349</v>
      </c>
      <c r="F70" s="307" t="s">
        <v>350</v>
      </c>
      <c r="G70" s="307"/>
      <c r="H70" s="308" t="s">
        <v>203</v>
      </c>
      <c r="I70" s="308" t="s">
        <v>204</v>
      </c>
      <c r="J70" s="229" t="s">
        <v>326</v>
      </c>
      <c r="K70" s="226">
        <v>44440</v>
      </c>
      <c r="L70" s="226">
        <v>44438</v>
      </c>
      <c r="M70" s="226">
        <f>IFERROR(IF(VLOOKUP(功能_33[[#This Row],[功能代號]],討論項目!A:H,8,FALSE)=0,"",VLOOKUP(功能_33[[#This Row],[功能代號]],討論項目!A:H,8,FALSE)),"")</f>
        <v>44487</v>
      </c>
      <c r="N70" s="308" t="s">
        <v>12</v>
      </c>
      <c r="O70" s="308" t="s">
        <v>11</v>
      </c>
      <c r="T70" s="308"/>
      <c r="V70" s="308"/>
      <c r="W70" s="308"/>
      <c r="X70" s="307" t="str">
        <f>VLOOKUP(功能_33[[#This Row],[User]],SKL放款!A:G,7,FALSE)</f>
        <v>放款服務課</v>
      </c>
      <c r="Y70" s="228">
        <f>IF(功能_33[[#This Row],[實際展示]]="","",功能_33[[#This Row],[實際展示]]+14)</f>
        <v>44452</v>
      </c>
      <c r="Z70" s="226">
        <v>44488</v>
      </c>
      <c r="AA70" s="226">
        <v>44496</v>
      </c>
      <c r="AB70" s="226">
        <v>44496</v>
      </c>
      <c r="AC70" s="226">
        <v>44512</v>
      </c>
      <c r="AD70" s="226" t="s">
        <v>198</v>
      </c>
      <c r="AE70" s="226"/>
      <c r="AF70" s="355"/>
      <c r="AG70" s="226" t="str">
        <f>IFERROR(IF(VLOOKUP(功能_33[[#This Row],[功能代號]],E:Q,11,FALSE)=0,"",VLOOKUP(功能_33[[#This Row],[功能代號]],E:Q,11,FALSE)),"")</f>
        <v>蔡珮瑜</v>
      </c>
      <c r="AH70" s="226"/>
      <c r="AI70" s="226"/>
      <c r="AJ70" s="307"/>
      <c r="AK70" s="307"/>
      <c r="AL70" s="308">
        <v>320</v>
      </c>
      <c r="AM70" s="307" t="s">
        <v>348</v>
      </c>
      <c r="AN70" s="307" t="str">
        <f>VLOOKUP(功能_33[[#This Row],[功能代號]],工作表2!B:B,1,FALSE)</f>
        <v>L3916</v>
      </c>
    </row>
    <row r="71" spans="1:40" ht="14.25" hidden="1" customHeight="1">
      <c r="A71" s="224">
        <v>70</v>
      </c>
      <c r="B71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07" t="s">
        <v>103</v>
      </c>
      <c r="D71" s="307"/>
      <c r="E71" s="308" t="s">
        <v>351</v>
      </c>
      <c r="F71" s="307" t="s">
        <v>352</v>
      </c>
      <c r="G71" s="307"/>
      <c r="H71" s="308" t="s">
        <v>203</v>
      </c>
      <c r="I71" s="308" t="s">
        <v>204</v>
      </c>
      <c r="J71" s="229"/>
      <c r="K71" s="226">
        <v>44441</v>
      </c>
      <c r="L71" s="226">
        <v>44438</v>
      </c>
      <c r="M71" s="226" t="str">
        <f>IFERROR(IF(VLOOKUP(功能_33[[#This Row],[功能代號]],討論項目!A:H,8,FALSE)=0,"",VLOOKUP(功能_33[[#This Row],[功能代號]],討論項目!A:H,8,FALSE)),"")</f>
        <v/>
      </c>
      <c r="N71" s="308" t="s">
        <v>12</v>
      </c>
      <c r="O71" s="308" t="s">
        <v>11</v>
      </c>
      <c r="T71" s="308"/>
      <c r="V71" s="308"/>
      <c r="W71" s="308"/>
      <c r="X71" s="307" t="str">
        <f>VLOOKUP(功能_33[[#This Row],[User]],SKL放款!A:G,7,FALSE)</f>
        <v>放款服務課</v>
      </c>
      <c r="Y71" s="228">
        <f>IF(功能_33[[#This Row],[實際展示]]="","",功能_33[[#This Row],[實際展示]]+14)</f>
        <v>44452</v>
      </c>
      <c r="Z71" s="226" t="s">
        <v>2809</v>
      </c>
      <c r="AA71" s="226">
        <v>44496</v>
      </c>
      <c r="AB71" s="226">
        <v>44496</v>
      </c>
      <c r="AC71" s="226">
        <v>44512</v>
      </c>
      <c r="AD71" s="226" t="s">
        <v>198</v>
      </c>
      <c r="AE71" s="226"/>
      <c r="AF71" s="355"/>
      <c r="AG71" s="226" t="str">
        <f>IFERROR(IF(VLOOKUP(功能_33[[#This Row],[功能代號]],E:Q,11,FALSE)=0,"",VLOOKUP(功能_33[[#This Row],[功能代號]],E:Q,11,FALSE)),"")</f>
        <v>蔡珮瑜</v>
      </c>
      <c r="AH71" s="226"/>
      <c r="AI71" s="226"/>
      <c r="AJ71" s="307"/>
      <c r="AK71" s="307"/>
      <c r="AL71" s="308">
        <v>320</v>
      </c>
      <c r="AM71" s="307" t="s">
        <v>348</v>
      </c>
      <c r="AN71" s="307" t="e">
        <f>VLOOKUP(功能_33[[#This Row],[功能代號]],工作表2!B:B,1,FALSE)</f>
        <v>#N/A</v>
      </c>
    </row>
    <row r="72" spans="1:40" ht="14.25" hidden="1" customHeight="1">
      <c r="A72" s="224">
        <v>81</v>
      </c>
      <c r="B72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07" t="s">
        <v>102</v>
      </c>
      <c r="D72" s="307" t="s">
        <v>353</v>
      </c>
      <c r="E72" s="308" t="s">
        <v>354</v>
      </c>
      <c r="F72" s="307" t="s">
        <v>355</v>
      </c>
      <c r="G72" s="307" t="s">
        <v>356</v>
      </c>
      <c r="H72" s="308" t="s">
        <v>203</v>
      </c>
      <c r="I72" s="308" t="s">
        <v>204</v>
      </c>
      <c r="J72" s="229" t="s">
        <v>2780</v>
      </c>
      <c r="K72" s="226">
        <v>44441</v>
      </c>
      <c r="L72" s="226">
        <v>44439</v>
      </c>
      <c r="M72" s="226">
        <f>IFERROR(IF(VLOOKUP(功能_33[[#This Row],[功能代號]],討論項目!A:H,8,FALSE)=0,"",VLOOKUP(功能_33[[#This Row],[功能代號]],討論項目!A:H,8,FALSE)),"")</f>
        <v>44469</v>
      </c>
      <c r="N72" s="308" t="s">
        <v>10</v>
      </c>
      <c r="O72" s="308" t="s">
        <v>22</v>
      </c>
      <c r="T72" s="308"/>
      <c r="V72" s="308"/>
      <c r="W72" s="308"/>
      <c r="X72" s="307" t="str">
        <f>VLOOKUP(功能_33[[#This Row],[User]],SKL放款!A:G,7,FALSE)</f>
        <v>放款服務課</v>
      </c>
      <c r="Y72" s="228">
        <f>IF(功能_33[[#This Row],[實際展示]]="","",功能_33[[#This Row],[實際展示]]+14)</f>
        <v>44453</v>
      </c>
      <c r="Z72" s="226">
        <v>44470</v>
      </c>
      <c r="AA72" s="226">
        <f>IF(功能_33[[#This Row],[URS交二審]]=0,"",功能_33[[#This Row],[URS交二審]]+7)</f>
        <v>44477</v>
      </c>
      <c r="AB72" s="226">
        <f>IF(功能_33[[#This Row],[URS交二審]]=0,"",功能_33[[#This Row],[URS交二審]]+7)</f>
        <v>44477</v>
      </c>
      <c r="AC72" s="226"/>
      <c r="AD72" s="226" t="s">
        <v>198</v>
      </c>
      <c r="AE72" s="226"/>
      <c r="AF72" s="355"/>
      <c r="AG72" s="226" t="str">
        <f>IFERROR(IF(VLOOKUP(功能_33[[#This Row],[功能代號]],E:Q,11,FALSE)=0,"",VLOOKUP(功能_33[[#This Row],[功能代號]],E:Q,11,FALSE)),"")</f>
        <v>許慧玉</v>
      </c>
      <c r="AH72" s="226"/>
      <c r="AI72" s="226"/>
      <c r="AJ72" s="307"/>
      <c r="AL72" s="308" t="s">
        <v>199</v>
      </c>
      <c r="AM72" s="308" t="s">
        <v>199</v>
      </c>
      <c r="AN72" s="307" t="str">
        <f>VLOOKUP(功能_33[[#This Row],[功能代號]],工作表2!B:B,1,FALSE)</f>
        <v>L2060</v>
      </c>
    </row>
    <row r="73" spans="1:40" ht="14.25" hidden="1" customHeight="1">
      <c r="A73" s="224">
        <v>82</v>
      </c>
      <c r="B7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07" t="s">
        <v>102</v>
      </c>
      <c r="D73" s="307" t="s">
        <v>353</v>
      </c>
      <c r="E73" s="308" t="s">
        <v>357</v>
      </c>
      <c r="F73" s="307" t="s">
        <v>358</v>
      </c>
      <c r="G73" s="307" t="s">
        <v>359</v>
      </c>
      <c r="H73" s="308" t="s">
        <v>203</v>
      </c>
      <c r="I73" s="308" t="s">
        <v>204</v>
      </c>
      <c r="J73" s="229" t="s">
        <v>2780</v>
      </c>
      <c r="K73" s="226">
        <v>44441</v>
      </c>
      <c r="L73" s="226">
        <v>44439</v>
      </c>
      <c r="M73" s="226">
        <f>IFERROR(IF(VLOOKUP(功能_33[[#This Row],[功能代號]],討論項目!A:H,8,FALSE)=0,"",VLOOKUP(功能_33[[#This Row],[功能代號]],討論項目!A:H,8,FALSE)),"")</f>
        <v>44469</v>
      </c>
      <c r="N73" s="308" t="s">
        <v>10</v>
      </c>
      <c r="O73" s="308" t="s">
        <v>15</v>
      </c>
      <c r="T73" s="308"/>
      <c r="V73" s="308"/>
      <c r="W73" s="308"/>
      <c r="X73" s="307" t="str">
        <f>VLOOKUP(功能_33[[#This Row],[User]],SKL放款!A:G,7,FALSE)</f>
        <v>放款推展課</v>
      </c>
      <c r="Y73" s="228">
        <f>IF(功能_33[[#This Row],[實際展示]]="","",功能_33[[#This Row],[實際展示]]+14)</f>
        <v>44453</v>
      </c>
      <c r="Z73" s="226">
        <v>44470</v>
      </c>
      <c r="AA73" s="226">
        <f>IF(功能_33[[#This Row],[URS交二審]]=0,"",功能_33[[#This Row],[URS交二審]]+7)</f>
        <v>44477</v>
      </c>
      <c r="AB73" s="226">
        <f>IF(功能_33[[#This Row],[URS交二審]]=0,"",功能_33[[#This Row],[URS交二審]]+7)</f>
        <v>44477</v>
      </c>
      <c r="AC73" s="226"/>
      <c r="AD73" s="226" t="s">
        <v>198</v>
      </c>
      <c r="AE73" s="226"/>
      <c r="AF73" s="355"/>
      <c r="AG73" s="226" t="str">
        <f>IFERROR(IF(VLOOKUP(功能_33[[#This Row],[功能代號]],E:Q,11,FALSE)=0,"",VLOOKUP(功能_33[[#This Row],[功能代號]],E:Q,11,FALSE)),"")</f>
        <v>陳俞辛</v>
      </c>
      <c r="AH73" s="226"/>
      <c r="AI73" s="226"/>
      <c r="AJ73" s="307"/>
      <c r="AL73" s="308" t="s">
        <v>199</v>
      </c>
      <c r="AM73" s="308" t="s">
        <v>199</v>
      </c>
      <c r="AN73" s="307" t="str">
        <f>VLOOKUP(功能_33[[#This Row],[功能代號]],工作表2!B:B,1,FALSE)</f>
        <v>L2600</v>
      </c>
    </row>
    <row r="74" spans="1:40" ht="13.8" hidden="1">
      <c r="A74" s="392"/>
      <c r="B74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07" t="s">
        <v>102</v>
      </c>
      <c r="D74" s="289"/>
      <c r="E74" s="308" t="s">
        <v>2773</v>
      </c>
      <c r="F74" s="290" t="s">
        <v>2774</v>
      </c>
      <c r="G74" s="307" t="s">
        <v>2768</v>
      </c>
      <c r="H74" s="308" t="s">
        <v>203</v>
      </c>
      <c r="I74" s="308" t="s">
        <v>204</v>
      </c>
      <c r="J74" s="229" t="s">
        <v>2780</v>
      </c>
      <c r="K74" s="226">
        <v>44441</v>
      </c>
      <c r="L74" s="226">
        <v>44439</v>
      </c>
      <c r="M74" s="226" t="str">
        <f>IFERROR(IF(VLOOKUP(功能_33[[#This Row],[功能代號]],討論項目!A:H,8,FALSE)=0,"",VLOOKUP(功能_33[[#This Row],[功能代號]],討論項目!A:H,8,FALSE)),"")</f>
        <v/>
      </c>
      <c r="N74" s="308" t="s">
        <v>10</v>
      </c>
      <c r="O74" s="308" t="s">
        <v>22</v>
      </c>
      <c r="T74" s="308"/>
      <c r="V74" s="308"/>
      <c r="W74" s="308"/>
      <c r="X74" s="393" t="str">
        <f>VLOOKUP(功能_33[[#This Row],[User]],SKL放款!A:G,7,FALSE)</f>
        <v>放款服務課</v>
      </c>
      <c r="Y74" s="228">
        <f>IF(功能_33[[#This Row],[實際展示]]="","",功能_33[[#This Row],[實際展示]]+14)</f>
        <v>44453</v>
      </c>
      <c r="Z74" s="226" t="s">
        <v>2810</v>
      </c>
      <c r="AA74" s="291"/>
      <c r="AB74" s="292"/>
      <c r="AC74" s="292"/>
      <c r="AD74" s="292"/>
      <c r="AE74" s="292"/>
      <c r="AF74" s="292"/>
      <c r="AG74" s="292" t="str">
        <f>IFERROR(IF(VLOOKUP(功能_33[[#This Row],[功能代號]],E:Q,11,FALSE)=0,"",VLOOKUP(功能_33[[#This Row],[功能代號]],E:Q,11,FALSE)),"")</f>
        <v>許慧玉</v>
      </c>
      <c r="AH74" s="292"/>
      <c r="AI74" s="292"/>
      <c r="AJ74" s="393"/>
      <c r="AL74" s="308" t="s">
        <v>199</v>
      </c>
      <c r="AM74" s="308" t="s">
        <v>199</v>
      </c>
      <c r="AN74" s="307" t="e">
        <f>VLOOKUP(功能_33[[#This Row],[功能代號]],工作表2!B:B,1,FALSE)</f>
        <v>#N/A</v>
      </c>
    </row>
    <row r="75" spans="1:40" ht="13.8" hidden="1">
      <c r="A75" s="392"/>
      <c r="B75" s="3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307" t="s">
        <v>102</v>
      </c>
      <c r="D75" s="289"/>
      <c r="E75" s="308" t="s">
        <v>2629</v>
      </c>
      <c r="F75" s="290" t="s">
        <v>2630</v>
      </c>
      <c r="G75" s="307" t="s">
        <v>2768</v>
      </c>
      <c r="H75" s="308" t="s">
        <v>203</v>
      </c>
      <c r="I75" s="308" t="s">
        <v>204</v>
      </c>
      <c r="J75" s="229" t="s">
        <v>2780</v>
      </c>
      <c r="K75" s="226">
        <v>44441</v>
      </c>
      <c r="L75" s="226">
        <v>44439</v>
      </c>
      <c r="M75" s="226"/>
      <c r="N75" s="308" t="s">
        <v>10</v>
      </c>
      <c r="O75" s="308" t="s">
        <v>15</v>
      </c>
      <c r="T75" s="308"/>
      <c r="V75" s="308"/>
      <c r="W75" s="308"/>
      <c r="X75" s="393" t="str">
        <f>VLOOKUP(功能_33[[#This Row],[User]],SKL放款!A:G,7,FALSE)</f>
        <v>放款推展課</v>
      </c>
      <c r="Y75" s="228">
        <f>IF(功能_33[[#This Row],[實際展示]]="","",功能_33[[#This Row],[實際展示]]+14)</f>
        <v>44453</v>
      </c>
      <c r="Z75" s="226" t="s">
        <v>2810</v>
      </c>
      <c r="AA75" s="291"/>
      <c r="AB75" s="292"/>
      <c r="AC75" s="292"/>
      <c r="AD75" s="292"/>
      <c r="AE75" s="292"/>
      <c r="AF75" s="292"/>
      <c r="AG75" s="292" t="str">
        <f>IFERROR(IF(VLOOKUP(功能_33[[#This Row],[功能代號]],E:Q,11,FALSE)=0,"",VLOOKUP(功能_33[[#This Row],[功能代號]],E:Q,11,FALSE)),"")</f>
        <v>陳俞辛</v>
      </c>
      <c r="AH75" s="292"/>
      <c r="AI75" s="292"/>
      <c r="AJ75" s="393"/>
      <c r="AL75" s="308" t="s">
        <v>199</v>
      </c>
      <c r="AM75" s="308" t="s">
        <v>199</v>
      </c>
      <c r="AN75" s="307" t="e">
        <f>VLOOKUP(功能_33[[#This Row],[功能代號]],工作表2!B:B,1,FALSE)</f>
        <v>#N/A</v>
      </c>
    </row>
    <row r="76" spans="1:40" ht="14.25" hidden="1" customHeight="1">
      <c r="A76" s="224">
        <v>83</v>
      </c>
      <c r="B76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6" s="307" t="s">
        <v>103</v>
      </c>
      <c r="D76" s="307"/>
      <c r="E76" s="308" t="s">
        <v>360</v>
      </c>
      <c r="F76" s="307" t="s">
        <v>361</v>
      </c>
      <c r="G76" s="307"/>
      <c r="H76" s="308" t="s">
        <v>203</v>
      </c>
      <c r="I76" s="308" t="s">
        <v>204</v>
      </c>
      <c r="J76" s="229" t="s">
        <v>326</v>
      </c>
      <c r="K76" s="226">
        <v>44442</v>
      </c>
      <c r="L76" s="226">
        <v>44439</v>
      </c>
      <c r="M76" s="226">
        <f>IFERROR(IF(VLOOKUP(功能_33[[#This Row],[功能代號]],討論項目!A:H,8,FALSE)=0,"",VLOOKUP(功能_33[[#This Row],[功能代號]],討論項目!A:H,8,FALSE)),"")</f>
        <v>44487</v>
      </c>
      <c r="N76" s="308" t="s">
        <v>7</v>
      </c>
      <c r="O76" s="308" t="s">
        <v>11</v>
      </c>
      <c r="T76" s="308"/>
      <c r="V76" s="308"/>
      <c r="W76" s="308"/>
      <c r="X76" s="307" t="str">
        <f>VLOOKUP(功能_33[[#This Row],[User]],SKL放款!A:G,7,FALSE)</f>
        <v>放款服務課</v>
      </c>
      <c r="Y76" s="228">
        <f>IF(功能_33[[#This Row],[實際展示]]="","",功能_33[[#This Row],[實際展示]]+14)</f>
        <v>44453</v>
      </c>
      <c r="Z76" s="226">
        <v>44488</v>
      </c>
      <c r="AA76" s="226">
        <v>44496</v>
      </c>
      <c r="AB76" s="226">
        <v>44496</v>
      </c>
      <c r="AC76" s="226">
        <v>44512</v>
      </c>
      <c r="AD76" s="226" t="s">
        <v>198</v>
      </c>
      <c r="AE76" s="226"/>
      <c r="AF76" s="355"/>
      <c r="AG76" s="226" t="str">
        <f>IFERROR(IF(VLOOKUP(功能_33[[#This Row],[功能代號]],E:Q,11,FALSE)=0,"",VLOOKUP(功能_33[[#This Row],[功能代號]],E:Q,11,FALSE)),"")</f>
        <v>蔡珮瑜</v>
      </c>
      <c r="AH76" s="226"/>
      <c r="AI76" s="226"/>
      <c r="AJ76" s="307"/>
      <c r="AK76" s="357">
        <v>44491</v>
      </c>
      <c r="AL76" s="308">
        <v>315</v>
      </c>
      <c r="AM76" s="307" t="s">
        <v>362</v>
      </c>
      <c r="AN76" s="307" t="str">
        <f>VLOOKUP(功能_33[[#This Row],[功能代號]],工作表2!B:B,1,FALSE)</f>
        <v>L3912</v>
      </c>
    </row>
    <row r="77" spans="1:40" ht="14.25" hidden="1" customHeight="1">
      <c r="A77" s="224">
        <v>84</v>
      </c>
      <c r="B77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7" s="307" t="s">
        <v>103</v>
      </c>
      <c r="D77" s="307"/>
      <c r="E77" s="308" t="s">
        <v>363</v>
      </c>
      <c r="F77" s="307" t="s">
        <v>364</v>
      </c>
      <c r="G77" s="307"/>
      <c r="H77" s="308" t="s">
        <v>203</v>
      </c>
      <c r="I77" s="308" t="s">
        <v>204</v>
      </c>
      <c r="J77" s="229" t="s">
        <v>326</v>
      </c>
      <c r="K77" s="226">
        <v>44442</v>
      </c>
      <c r="L77" s="226">
        <v>44439</v>
      </c>
      <c r="M77" s="226">
        <f>IFERROR(IF(VLOOKUP(功能_33[[#This Row],[功能代號]],討論項目!A:H,8,FALSE)=0,"",VLOOKUP(功能_33[[#This Row],[功能代號]],討論項目!A:H,8,FALSE)),"")</f>
        <v>44487</v>
      </c>
      <c r="N77" s="308" t="s">
        <v>7</v>
      </c>
      <c r="O77" s="308" t="s">
        <v>11</v>
      </c>
      <c r="P77" s="277" t="s">
        <v>14</v>
      </c>
      <c r="T77" s="308"/>
      <c r="V77" s="308"/>
      <c r="W77" s="308"/>
      <c r="X77" s="307" t="str">
        <f>VLOOKUP(功能_33[[#This Row],[User]],SKL放款!A:G,7,FALSE)</f>
        <v>放款服務課</v>
      </c>
      <c r="Y77" s="228">
        <f>IF(功能_33[[#This Row],[實際展示]]="","",功能_33[[#This Row],[實際展示]]+14)</f>
        <v>44453</v>
      </c>
      <c r="Z77" s="226">
        <v>44488</v>
      </c>
      <c r="AA77" s="226">
        <v>44496</v>
      </c>
      <c r="AB77" s="226">
        <v>44496</v>
      </c>
      <c r="AC77" s="226">
        <v>44512</v>
      </c>
      <c r="AD77" s="226" t="s">
        <v>198</v>
      </c>
      <c r="AE77" s="226"/>
      <c r="AF77" s="355"/>
      <c r="AG77" s="226" t="str">
        <f>IFERROR(IF(VLOOKUP(功能_33[[#This Row],[功能代號]],E:Q,11,FALSE)=0,"",VLOOKUP(功能_33[[#This Row],[功能代號]],E:Q,11,FALSE)),"")</f>
        <v>蔡珮瑜</v>
      </c>
      <c r="AH77" s="226"/>
      <c r="AI77" s="226"/>
      <c r="AJ77" s="307"/>
      <c r="AK77" s="307"/>
      <c r="AL77" s="308">
        <v>315</v>
      </c>
      <c r="AM77" s="307" t="s">
        <v>362</v>
      </c>
      <c r="AN77" s="307" t="str">
        <f>VLOOKUP(功能_33[[#This Row],[功能代號]],工作表2!B:B,1,FALSE)</f>
        <v>L3005</v>
      </c>
    </row>
    <row r="78" spans="1:40" ht="14.25" hidden="1" customHeight="1">
      <c r="A78" s="224">
        <v>75</v>
      </c>
      <c r="B78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8" s="307" t="s">
        <v>103</v>
      </c>
      <c r="D78" s="307"/>
      <c r="E78" s="308" t="s">
        <v>365</v>
      </c>
      <c r="F78" s="307" t="s">
        <v>366</v>
      </c>
      <c r="G78" s="307"/>
      <c r="H78" s="308" t="s">
        <v>203</v>
      </c>
      <c r="I78" s="308" t="s">
        <v>204</v>
      </c>
      <c r="J78" s="229" t="s">
        <v>326</v>
      </c>
      <c r="K78" s="226">
        <v>44442</v>
      </c>
      <c r="L78" s="226">
        <v>44439</v>
      </c>
      <c r="M78" s="226" t="str">
        <f>IFERROR(IF(VLOOKUP(功能_33[[#This Row],[功能代號]],討論項目!A:H,8,FALSE)=0,"",VLOOKUP(功能_33[[#This Row],[功能代號]],討論項目!A:H,8,FALSE)),"")</f>
        <v/>
      </c>
      <c r="N78" s="308" t="s">
        <v>7</v>
      </c>
      <c r="O78" s="308" t="s">
        <v>11</v>
      </c>
      <c r="T78" s="308"/>
      <c r="V78" s="308"/>
      <c r="W78" s="308"/>
      <c r="X78" s="307" t="str">
        <f>VLOOKUP(功能_33[[#This Row],[User]],SKL放款!A:G,7,FALSE)</f>
        <v>放款服務課</v>
      </c>
      <c r="Y78" s="228">
        <f>IF(功能_33[[#This Row],[實際展示]]="","",功能_33[[#This Row],[實際展示]]+14)</f>
        <v>44453</v>
      </c>
      <c r="Z78" s="226">
        <v>44488</v>
      </c>
      <c r="AA78" s="226">
        <v>44496</v>
      </c>
      <c r="AB78" s="226">
        <v>44496</v>
      </c>
      <c r="AC78" s="226">
        <v>44512</v>
      </c>
      <c r="AD78" s="226" t="s">
        <v>198</v>
      </c>
      <c r="AE78" s="226"/>
      <c r="AF78" s="355"/>
      <c r="AG78" s="226" t="str">
        <f>IFERROR(IF(VLOOKUP(功能_33[[#This Row],[功能代號]],E:Q,11,FALSE)=0,"",VLOOKUP(功能_33[[#This Row],[功能代號]],E:Q,11,FALSE)),"")</f>
        <v>蔡珮瑜</v>
      </c>
      <c r="AH78" s="226"/>
      <c r="AI78" s="226"/>
      <c r="AJ78" s="307"/>
      <c r="AK78" s="307"/>
      <c r="AL78" s="308">
        <v>350</v>
      </c>
      <c r="AM78" s="307" t="s">
        <v>367</v>
      </c>
      <c r="AN78" s="307" t="e">
        <f>VLOOKUP(功能_33[[#This Row],[功能代號]],工作表2!B:B,1,FALSE)</f>
        <v>#N/A</v>
      </c>
    </row>
    <row r="79" spans="1:40" ht="14.25" hidden="1" customHeight="1">
      <c r="A79" s="224">
        <v>76</v>
      </c>
      <c r="B79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9" s="307" t="s">
        <v>103</v>
      </c>
      <c r="D79" s="307"/>
      <c r="E79" s="308" t="s">
        <v>368</v>
      </c>
      <c r="F79" s="307" t="s">
        <v>369</v>
      </c>
      <c r="G79" s="307"/>
      <c r="H79" s="308" t="s">
        <v>203</v>
      </c>
      <c r="I79" s="308" t="s">
        <v>204</v>
      </c>
      <c r="J79" s="229" t="s">
        <v>326</v>
      </c>
      <c r="K79" s="226">
        <v>44442</v>
      </c>
      <c r="L79" s="226">
        <v>44439</v>
      </c>
      <c r="M79" s="226">
        <f>IFERROR(IF(VLOOKUP(功能_33[[#This Row],[功能代號]],討論項目!A:H,8,FALSE)=0,"",VLOOKUP(功能_33[[#This Row],[功能代號]],討論項目!A:H,8,FALSE)),"")</f>
        <v>44487</v>
      </c>
      <c r="N79" s="308" t="s">
        <v>7</v>
      </c>
      <c r="O79" s="308" t="s">
        <v>11</v>
      </c>
      <c r="T79" s="308"/>
      <c r="V79" s="308"/>
      <c r="W79" s="308"/>
      <c r="X79" s="307" t="str">
        <f>VLOOKUP(功能_33[[#This Row],[User]],SKL放款!A:G,7,FALSE)</f>
        <v>放款服務課</v>
      </c>
      <c r="Y79" s="228">
        <f>IF(功能_33[[#This Row],[實際展示]]="","",功能_33[[#This Row],[實際展示]]+14)</f>
        <v>44453</v>
      </c>
      <c r="Z79" s="226">
        <v>44488</v>
      </c>
      <c r="AA79" s="226">
        <v>44496</v>
      </c>
      <c r="AB79" s="226">
        <v>44496</v>
      </c>
      <c r="AC79" s="226">
        <v>44512</v>
      </c>
      <c r="AD79" s="226" t="s">
        <v>198</v>
      </c>
      <c r="AE79" s="226"/>
      <c r="AF79" s="355"/>
      <c r="AG79" s="226" t="str">
        <f>IFERROR(IF(VLOOKUP(功能_33[[#This Row],[功能代號]],E:Q,11,FALSE)=0,"",VLOOKUP(功能_33[[#This Row],[功能代號]],E:Q,11,FALSE)),"")</f>
        <v>蔡珮瑜</v>
      </c>
      <c r="AH79" s="226"/>
      <c r="AI79" s="226"/>
      <c r="AJ79" s="307"/>
      <c r="AK79" s="307"/>
      <c r="AL79" s="308">
        <v>351</v>
      </c>
      <c r="AM79" s="307" t="s">
        <v>370</v>
      </c>
      <c r="AN79" s="307" t="str">
        <f>VLOOKUP(功能_33[[#This Row],[功能代號]],工作表2!B:B,1,FALSE)</f>
        <v>L3721</v>
      </c>
    </row>
    <row r="80" spans="1:40" ht="14.25" hidden="1" customHeight="1">
      <c r="A80" s="224">
        <v>74</v>
      </c>
      <c r="B80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307" t="s">
        <v>103</v>
      </c>
      <c r="D80" s="307"/>
      <c r="E80" s="308" t="s">
        <v>371</v>
      </c>
      <c r="F80" s="307" t="s">
        <v>372</v>
      </c>
      <c r="G80" s="307"/>
      <c r="H80" s="308" t="s">
        <v>203</v>
      </c>
      <c r="I80" s="308" t="s">
        <v>204</v>
      </c>
      <c r="J80" s="229" t="s">
        <v>326</v>
      </c>
      <c r="K80" s="226">
        <v>44442</v>
      </c>
      <c r="L80" s="226">
        <v>44439</v>
      </c>
      <c r="M80" s="226" t="str">
        <f>IFERROR(IF(VLOOKUP(功能_33[[#This Row],[功能代號]],討論項目!A:H,8,FALSE)=0,"",VLOOKUP(功能_33[[#This Row],[功能代號]],討論項目!A:H,8,FALSE)),"")</f>
        <v/>
      </c>
      <c r="N80" s="308" t="s">
        <v>12</v>
      </c>
      <c r="O80" s="308" t="s">
        <v>11</v>
      </c>
      <c r="T80" s="308"/>
      <c r="V80" s="308"/>
      <c r="W80" s="308"/>
      <c r="X80" s="307" t="str">
        <f>VLOOKUP(功能_33[[#This Row],[User]],SKL放款!A:G,7,FALSE)</f>
        <v>放款服務課</v>
      </c>
      <c r="Y80" s="228">
        <f>IF(功能_33[[#This Row],[實際展示]]="","",功能_33[[#This Row],[實際展示]]+14)</f>
        <v>44453</v>
      </c>
      <c r="Z80" s="226">
        <v>44488</v>
      </c>
      <c r="AA80" s="226">
        <v>44497</v>
      </c>
      <c r="AB80" s="226">
        <v>44497</v>
      </c>
      <c r="AC80" s="226">
        <v>44512</v>
      </c>
      <c r="AD80" s="226" t="s">
        <v>198</v>
      </c>
      <c r="AE80" s="226"/>
      <c r="AF80" s="355"/>
      <c r="AG80" s="226" t="str">
        <f>IFERROR(IF(VLOOKUP(功能_33[[#This Row],[功能代號]],E:Q,11,FALSE)=0,"",VLOOKUP(功能_33[[#This Row],[功能代號]],E:Q,11,FALSE)),"")</f>
        <v>蔡珮瑜</v>
      </c>
      <c r="AH80" s="226"/>
      <c r="AI80" s="226"/>
      <c r="AJ80" s="307"/>
      <c r="AK80" s="307"/>
      <c r="AL80" s="308">
        <v>321</v>
      </c>
      <c r="AM80" s="307" t="s">
        <v>373</v>
      </c>
      <c r="AN80" s="307" t="str">
        <f>VLOOKUP(功能_33[[#This Row],[功能代號]],工作表2!B:B,1,FALSE)</f>
        <v>L3701</v>
      </c>
    </row>
    <row r="81" spans="1:40" ht="14.25" hidden="1" customHeight="1">
      <c r="A81" s="224">
        <v>71</v>
      </c>
      <c r="B81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1" s="307" t="s">
        <v>104</v>
      </c>
      <c r="D81" s="307" t="s">
        <v>374</v>
      </c>
      <c r="E81" s="308" t="s">
        <v>375</v>
      </c>
      <c r="F81" s="307" t="s">
        <v>376</v>
      </c>
      <c r="G81" s="307"/>
      <c r="H81" s="308" t="s">
        <v>203</v>
      </c>
      <c r="I81" s="308" t="s">
        <v>204</v>
      </c>
      <c r="J81" s="229"/>
      <c r="K81" s="226">
        <v>44438</v>
      </c>
      <c r="L81" s="226">
        <v>44438</v>
      </c>
      <c r="M81" s="226" t="str">
        <f>IFERROR(IF(VLOOKUP(功能_33[[#This Row],[功能代號]],討論項目!A:H,8,FALSE)=0,"",VLOOKUP(功能_33[[#This Row],[功能代號]],討論項目!A:H,8,FALSE)),"")</f>
        <v/>
      </c>
      <c r="N81" s="308" t="s">
        <v>12</v>
      </c>
      <c r="O81" s="308" t="s">
        <v>18</v>
      </c>
      <c r="T81" s="308"/>
      <c r="V81" s="308"/>
      <c r="W81" s="308"/>
      <c r="X81" s="307" t="str">
        <f>VLOOKUP(功能_33[[#This Row],[User]],SKL放款!A:G,7,FALSE)</f>
        <v>放款服務課</v>
      </c>
      <c r="Y81" s="228">
        <f>IF(功能_33[[#This Row],[實際展示]]="","",功能_33[[#This Row],[實際展示]]+14)</f>
        <v>44452</v>
      </c>
      <c r="Z81" s="226" t="s">
        <v>213</v>
      </c>
      <c r="AA81" s="226">
        <v>44523</v>
      </c>
      <c r="AB81" s="226"/>
      <c r="AC81" s="226"/>
      <c r="AD81" s="226"/>
      <c r="AE81" s="226"/>
      <c r="AF81" s="355"/>
      <c r="AG81" s="226" t="str">
        <f>IFERROR(IF(VLOOKUP(功能_33[[#This Row],[功能代號]],E:Q,11,FALSE)=0,"",VLOOKUP(功能_33[[#This Row],[功能代號]],E:Q,11,FALSE)),"")</f>
        <v>尹少玄</v>
      </c>
      <c r="AH81" s="226"/>
      <c r="AI81" s="226"/>
      <c r="AJ81" s="307"/>
      <c r="AK81" s="307"/>
      <c r="AN81" s="307" t="str">
        <f>VLOOKUP(功能_33[[#This Row],[功能代號]],工作表2!B:B,1,FALSE)</f>
        <v>L4101</v>
      </c>
    </row>
    <row r="82" spans="1:40" ht="14.25" hidden="1" customHeight="1">
      <c r="A82" s="224">
        <v>72</v>
      </c>
      <c r="B82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2" s="307" t="s">
        <v>104</v>
      </c>
      <c r="D82" s="307" t="s">
        <v>374</v>
      </c>
      <c r="E82" s="308" t="s">
        <v>377</v>
      </c>
      <c r="F82" s="307" t="s">
        <v>378</v>
      </c>
      <c r="G82" s="307"/>
      <c r="H82" s="308" t="s">
        <v>203</v>
      </c>
      <c r="I82" s="308" t="s">
        <v>204</v>
      </c>
      <c r="J82" s="229"/>
      <c r="K82" s="226">
        <v>44438</v>
      </c>
      <c r="L82" s="226">
        <v>44438</v>
      </c>
      <c r="M82" s="226" t="str">
        <f>IFERROR(IF(VLOOKUP(功能_33[[#This Row],[功能代號]],討論項目!A:H,8,FALSE)=0,"",VLOOKUP(功能_33[[#This Row],[功能代號]],討論項目!A:H,8,FALSE)),"")</f>
        <v/>
      </c>
      <c r="N82" s="308" t="s">
        <v>12</v>
      </c>
      <c r="O82" s="308" t="s">
        <v>18</v>
      </c>
      <c r="T82" s="308"/>
      <c r="V82" s="308"/>
      <c r="W82" s="308"/>
      <c r="X82" s="307" t="str">
        <f>VLOOKUP(功能_33[[#This Row],[User]],SKL放款!A:G,7,FALSE)</f>
        <v>放款服務課</v>
      </c>
      <c r="Y82" s="228">
        <f>IF(功能_33[[#This Row],[實際展示]]="","",功能_33[[#This Row],[實際展示]]+14)</f>
        <v>44452</v>
      </c>
      <c r="Z82" s="226" t="s">
        <v>205</v>
      </c>
      <c r="AA82" s="226">
        <v>44523</v>
      </c>
      <c r="AB82" s="226"/>
      <c r="AC82" s="226"/>
      <c r="AD82" s="226"/>
      <c r="AE82" s="226"/>
      <c r="AF82" s="355"/>
      <c r="AG82" s="226" t="str">
        <f>IFERROR(IF(VLOOKUP(功能_33[[#This Row],[功能代號]],E:Q,11,FALSE)=0,"",VLOOKUP(功能_33[[#This Row],[功能代號]],E:Q,11,FALSE)),"")</f>
        <v>尹少玄</v>
      </c>
      <c r="AH82" s="226"/>
      <c r="AI82" s="226"/>
      <c r="AJ82" s="307"/>
      <c r="AK82" s="307"/>
      <c r="AN82" s="307" t="e">
        <f>VLOOKUP(功能_33[[#This Row],[功能代號]],工作表2!B:B,1,FALSE)</f>
        <v>#N/A</v>
      </c>
    </row>
    <row r="83" spans="1:40" ht="14.25" hidden="1" customHeight="1">
      <c r="A83" s="224">
        <v>73</v>
      </c>
      <c r="B83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307" t="s">
        <v>104</v>
      </c>
      <c r="D83" s="307" t="s">
        <v>374</v>
      </c>
      <c r="E83" s="308" t="s">
        <v>379</v>
      </c>
      <c r="F83" s="307" t="s">
        <v>380</v>
      </c>
      <c r="G83" s="307"/>
      <c r="H83" s="308" t="s">
        <v>203</v>
      </c>
      <c r="I83" s="308" t="s">
        <v>204</v>
      </c>
      <c r="J83" s="229"/>
      <c r="K83" s="226">
        <v>44438</v>
      </c>
      <c r="L83" s="226">
        <v>44438</v>
      </c>
      <c r="M83" s="226" t="str">
        <f>IFERROR(IF(VLOOKUP(功能_33[[#This Row],[功能代號]],討論項目!A:H,8,FALSE)=0,"",VLOOKUP(功能_33[[#This Row],[功能代號]],討論項目!A:H,8,FALSE)),"")</f>
        <v/>
      </c>
      <c r="N83" s="308" t="s">
        <v>12</v>
      </c>
      <c r="O83" s="308" t="s">
        <v>2779</v>
      </c>
      <c r="T83" s="308"/>
      <c r="V83" s="308"/>
      <c r="W83" s="308"/>
      <c r="X83" s="307" t="str">
        <f>VLOOKUP(功能_33[[#This Row],[User]],SKL放款!A:G,7,FALSE)</f>
        <v>放款服務課</v>
      </c>
      <c r="Y83" s="228">
        <f>IF(功能_33[[#This Row],[實際展示]]="","",功能_33[[#This Row],[實際展示]]+14)</f>
        <v>44452</v>
      </c>
      <c r="Z83" s="226" t="s">
        <v>205</v>
      </c>
      <c r="AA83" s="226">
        <v>44523</v>
      </c>
      <c r="AB83" s="226"/>
      <c r="AC83" s="226"/>
      <c r="AD83" s="226"/>
      <c r="AE83" s="226"/>
      <c r="AF83" s="355"/>
      <c r="AG83" s="226" t="str">
        <f>IFERROR(IF(VLOOKUP(功能_33[[#This Row],[功能代號]],E:Q,11,FALSE)=0,"",VLOOKUP(功能_33[[#This Row],[功能代號]],E:Q,11,FALSE)),"")</f>
        <v>尹少玄</v>
      </c>
      <c r="AH83" s="226"/>
      <c r="AI83" s="226"/>
      <c r="AJ83" s="307"/>
      <c r="AK83" s="307"/>
      <c r="AN83" s="307" t="e">
        <f>VLOOKUP(功能_33[[#This Row],[功能代號]],工作表2!B:B,1,FALSE)</f>
        <v>#N/A</v>
      </c>
    </row>
    <row r="84" spans="1:40" ht="14.25" hidden="1" customHeight="1">
      <c r="A84" s="224">
        <v>295</v>
      </c>
      <c r="B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4" s="307" t="s">
        <v>106</v>
      </c>
      <c r="D84" s="307"/>
      <c r="E84" s="308" t="s">
        <v>381</v>
      </c>
      <c r="F84" s="307" t="s">
        <v>382</v>
      </c>
      <c r="G84" s="307"/>
      <c r="H84" s="308" t="s">
        <v>203</v>
      </c>
      <c r="I84" s="308" t="s">
        <v>204</v>
      </c>
      <c r="J84" s="229"/>
      <c r="K84" s="226">
        <v>44447</v>
      </c>
      <c r="L84" s="226">
        <v>44447</v>
      </c>
      <c r="M84" s="226" t="str">
        <f>IFERROR(IF(VLOOKUP(功能_33[[#This Row],[功能代號]],討論項目!A:H,8,FALSE)=0,"",VLOOKUP(功能_33[[#This Row],[功能代號]],討論項目!A:H,8,FALSE)),"")</f>
        <v/>
      </c>
      <c r="N84" s="308" t="s">
        <v>8</v>
      </c>
      <c r="O84" s="308" t="s">
        <v>11</v>
      </c>
      <c r="P84" s="277" t="s">
        <v>14</v>
      </c>
      <c r="T84" s="308"/>
      <c r="V84" s="308"/>
      <c r="W84" s="308"/>
      <c r="X84" s="307" t="str">
        <f>VLOOKUP(功能_33[[#This Row],[User]],SKL放款!A:G,7,FALSE)</f>
        <v>放款服務課</v>
      </c>
      <c r="Y84" s="228">
        <f>IF(功能_33[[#This Row],[實際展示]]="","",功能_33[[#This Row],[實際展示]]+14)</f>
        <v>44461</v>
      </c>
      <c r="Z84" s="226" t="s">
        <v>2808</v>
      </c>
      <c r="AA84" s="226"/>
      <c r="AB84" s="226"/>
      <c r="AC84" s="226"/>
      <c r="AD84" s="226"/>
      <c r="AE84" s="226"/>
      <c r="AF84" s="355"/>
      <c r="AG84" s="226" t="str">
        <f>IFERROR(IF(VLOOKUP(功能_33[[#This Row],[功能代號]],E:Q,11,FALSE)=0,"",VLOOKUP(功能_33[[#This Row],[功能代號]],E:Q,11,FALSE)),"")</f>
        <v>蔡珮瑜</v>
      </c>
      <c r="AH84" s="226"/>
      <c r="AI84" s="226"/>
      <c r="AJ84" s="307"/>
      <c r="AK84" s="228" t="s">
        <v>383</v>
      </c>
      <c r="AN84" s="307" t="str">
        <f>VLOOKUP(功能_33[[#This Row],[功能代號]],工作表2!B:B,1,FALSE)</f>
        <v>L6001</v>
      </c>
    </row>
    <row r="85" spans="1:40" ht="14.25" hidden="1" customHeight="1">
      <c r="A85" s="224">
        <v>85</v>
      </c>
      <c r="B8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307" t="s">
        <v>104</v>
      </c>
      <c r="D85" s="307" t="s">
        <v>384</v>
      </c>
      <c r="E85" s="308" t="s">
        <v>385</v>
      </c>
      <c r="F85" s="307" t="s">
        <v>386</v>
      </c>
      <c r="G85" s="307"/>
      <c r="H85" s="308" t="s">
        <v>203</v>
      </c>
      <c r="I85" s="308" t="s">
        <v>204</v>
      </c>
      <c r="J85" s="229"/>
      <c r="K85" s="226">
        <v>44447</v>
      </c>
      <c r="L85" s="226">
        <v>44447</v>
      </c>
      <c r="M85" s="226" t="str">
        <f>IFERROR(IF(VLOOKUP(功能_33[[#This Row],[功能代號]],討論項目!A:H,8,FALSE)=0,"",VLOOKUP(功能_33[[#This Row],[功能代號]],討論項目!A:H,8,FALSE)),"")</f>
        <v/>
      </c>
      <c r="N85" s="308" t="s">
        <v>12</v>
      </c>
      <c r="O85" s="308" t="s">
        <v>22</v>
      </c>
      <c r="T85" s="308"/>
      <c r="V85" s="308"/>
      <c r="W85" s="308"/>
      <c r="X85" s="307" t="str">
        <f>VLOOKUP(功能_33[[#This Row],[User]],SKL放款!A:G,7,FALSE)</f>
        <v>放款服務課</v>
      </c>
      <c r="Y85" s="228">
        <f>IF(功能_33[[#This Row],[實際展示]]="","",功能_33[[#This Row],[實際展示]]+14)</f>
        <v>44461</v>
      </c>
      <c r="Z85" s="226" t="s">
        <v>213</v>
      </c>
      <c r="AA85" s="226">
        <v>44516</v>
      </c>
      <c r="AB85" s="226">
        <v>44516</v>
      </c>
      <c r="AC85" s="226"/>
      <c r="AD85" s="226"/>
      <c r="AE85" s="226"/>
      <c r="AF85" s="355"/>
      <c r="AG85" s="226" t="str">
        <f>IFERROR(IF(VLOOKUP(功能_33[[#This Row],[功能代號]],E:Q,11,FALSE)=0,"",VLOOKUP(功能_33[[#This Row],[功能代號]],E:Q,11,FALSE)),"")</f>
        <v>許慧玉</v>
      </c>
      <c r="AH85" s="226"/>
      <c r="AI85" s="226"/>
      <c r="AJ85" s="307"/>
      <c r="AK85" s="226"/>
      <c r="AN85" s="307" t="str">
        <f>VLOOKUP(功能_33[[#This Row],[功能代號]],工作表2!B:B,1,FALSE)</f>
        <v>L4042</v>
      </c>
    </row>
    <row r="86" spans="1:40" ht="14.25" hidden="1" customHeight="1">
      <c r="A86" s="224">
        <v>86</v>
      </c>
      <c r="B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07" t="s">
        <v>104</v>
      </c>
      <c r="D86" s="307" t="s">
        <v>384</v>
      </c>
      <c r="E86" s="308" t="s">
        <v>387</v>
      </c>
      <c r="F86" s="307" t="s">
        <v>388</v>
      </c>
      <c r="G86" s="307"/>
      <c r="H86" s="308" t="s">
        <v>203</v>
      </c>
      <c r="I86" s="308" t="s">
        <v>204</v>
      </c>
      <c r="J86" s="229"/>
      <c r="K86" s="226">
        <v>44447</v>
      </c>
      <c r="L86" s="226">
        <v>44447</v>
      </c>
      <c r="M86" s="226" t="str">
        <f>IFERROR(IF(VLOOKUP(功能_33[[#This Row],[功能代號]],討論項目!A:H,8,FALSE)=0,"",VLOOKUP(功能_33[[#This Row],[功能代號]],討論項目!A:H,8,FALSE)),"")</f>
        <v/>
      </c>
      <c r="N86" s="308" t="s">
        <v>12</v>
      </c>
      <c r="O86" s="308" t="s">
        <v>22</v>
      </c>
      <c r="T86" s="308"/>
      <c r="V86" s="308"/>
      <c r="W86" s="308"/>
      <c r="X86" s="307" t="str">
        <f>VLOOKUP(功能_33[[#This Row],[User]],SKL放款!A:G,7,FALSE)</f>
        <v>放款服務課</v>
      </c>
      <c r="Y86" s="228">
        <f>IF(功能_33[[#This Row],[實際展示]]="","",功能_33[[#This Row],[實際展示]]+14)</f>
        <v>44461</v>
      </c>
      <c r="Z86" s="226" t="s">
        <v>213</v>
      </c>
      <c r="AA86" s="226">
        <v>44516</v>
      </c>
      <c r="AB86" s="226">
        <v>44516</v>
      </c>
      <c r="AC86" s="226"/>
      <c r="AD86" s="226"/>
      <c r="AE86" s="226"/>
      <c r="AF86" s="355"/>
      <c r="AG86" s="226" t="str">
        <f>IFERROR(IF(VLOOKUP(功能_33[[#This Row],[功能代號]],E:Q,11,FALSE)=0,"",VLOOKUP(功能_33[[#This Row],[功能代號]],E:Q,11,FALSE)),"")</f>
        <v>許慧玉</v>
      </c>
      <c r="AH86" s="226"/>
      <c r="AI86" s="226"/>
      <c r="AJ86" s="307"/>
      <c r="AK86" s="226"/>
      <c r="AN86" s="307" t="str">
        <f>VLOOKUP(功能_33[[#This Row],[功能代號]],工作表2!B:B,1,FALSE)</f>
        <v>L4410</v>
      </c>
    </row>
    <row r="87" spans="1:40" ht="14.25" hidden="1" customHeight="1">
      <c r="A87" s="224">
        <v>87</v>
      </c>
      <c r="B87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07" t="s">
        <v>104</v>
      </c>
      <c r="D87" s="307" t="s">
        <v>384</v>
      </c>
      <c r="E87" s="308" t="s">
        <v>389</v>
      </c>
      <c r="F87" s="307" t="s">
        <v>390</v>
      </c>
      <c r="G87" s="307"/>
      <c r="H87" s="308" t="s">
        <v>203</v>
      </c>
      <c r="I87" s="308" t="s">
        <v>204</v>
      </c>
      <c r="J87" s="229"/>
      <c r="K87" s="226">
        <v>44447</v>
      </c>
      <c r="L87" s="226">
        <v>44447</v>
      </c>
      <c r="M87" s="226" t="str">
        <f>IFERROR(IF(VLOOKUP(功能_33[[#This Row],[功能代號]],討論項目!A:H,8,FALSE)=0,"",VLOOKUP(功能_33[[#This Row],[功能代號]],討論項目!A:H,8,FALSE)),"")</f>
        <v/>
      </c>
      <c r="N87" s="308" t="s">
        <v>12</v>
      </c>
      <c r="O87" s="308" t="s">
        <v>22</v>
      </c>
      <c r="T87" s="308"/>
      <c r="V87" s="308"/>
      <c r="W87" s="308"/>
      <c r="X87" s="307" t="str">
        <f>VLOOKUP(功能_33[[#This Row],[User]],SKL放款!A:G,7,FALSE)</f>
        <v>放款服務課</v>
      </c>
      <c r="Y87" s="228">
        <f>IF(功能_33[[#This Row],[實際展示]]="","",功能_33[[#This Row],[實際展示]]+14)</f>
        <v>44461</v>
      </c>
      <c r="Z87" s="226" t="s">
        <v>205</v>
      </c>
      <c r="AA87" s="226">
        <v>44516</v>
      </c>
      <c r="AB87" s="226">
        <v>44516</v>
      </c>
      <c r="AC87" s="226"/>
      <c r="AD87" s="226"/>
      <c r="AE87" s="226"/>
      <c r="AF87" s="355"/>
      <c r="AG87" s="226" t="str">
        <f>IFERROR(IF(VLOOKUP(功能_33[[#This Row],[功能代號]],E:Q,11,FALSE)=0,"",VLOOKUP(功能_33[[#This Row],[功能代號]],E:Q,11,FALSE)),"")</f>
        <v>許慧玉</v>
      </c>
      <c r="AH87" s="226"/>
      <c r="AI87" s="226"/>
      <c r="AJ87" s="307"/>
      <c r="AK87" s="226"/>
      <c r="AN87" s="307" t="e">
        <f>VLOOKUP(功能_33[[#This Row],[功能代號]],工作表2!B:B,1,FALSE)</f>
        <v>#N/A</v>
      </c>
    </row>
    <row r="88" spans="1:40" ht="14.25" hidden="1" customHeight="1">
      <c r="A88" s="224">
        <v>91</v>
      </c>
      <c r="B88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307" t="s">
        <v>104</v>
      </c>
      <c r="D88" s="307" t="s">
        <v>384</v>
      </c>
      <c r="E88" s="308" t="s">
        <v>391</v>
      </c>
      <c r="F88" s="307" t="s">
        <v>392</v>
      </c>
      <c r="G88" s="307"/>
      <c r="H88" s="308" t="s">
        <v>203</v>
      </c>
      <c r="I88" s="308" t="s">
        <v>204</v>
      </c>
      <c r="J88" s="229"/>
      <c r="K88" s="226">
        <v>44447</v>
      </c>
      <c r="L88" s="226">
        <v>44447</v>
      </c>
      <c r="M88" s="226" t="str">
        <f>IFERROR(IF(VLOOKUP(功能_33[[#This Row],[功能代號]],討論項目!A:H,8,FALSE)=0,"",VLOOKUP(功能_33[[#This Row],[功能代號]],討論項目!A:H,8,FALSE)),"")</f>
        <v/>
      </c>
      <c r="N88" s="308" t="s">
        <v>12</v>
      </c>
      <c r="O88" s="308" t="s">
        <v>22</v>
      </c>
      <c r="T88" s="308"/>
      <c r="V88" s="308"/>
      <c r="W88" s="308"/>
      <c r="X88" s="307" t="str">
        <f>VLOOKUP(功能_33[[#This Row],[User]],SKL放款!A:G,7,FALSE)</f>
        <v>放款服務課</v>
      </c>
      <c r="Y88" s="228">
        <f>IF(功能_33[[#This Row],[實際展示]]="","",功能_33[[#This Row],[實際展示]]+14)</f>
        <v>44461</v>
      </c>
      <c r="Z88" s="226" t="s">
        <v>205</v>
      </c>
      <c r="AA88" s="226">
        <v>44516</v>
      </c>
      <c r="AB88" s="226">
        <v>44516</v>
      </c>
      <c r="AC88" s="226"/>
      <c r="AD88" s="226"/>
      <c r="AE88" s="226"/>
      <c r="AF88" s="355"/>
      <c r="AG88" s="226" t="str">
        <f>IFERROR(IF(VLOOKUP(功能_33[[#This Row],[功能代號]],E:Q,11,FALSE)=0,"",VLOOKUP(功能_33[[#This Row],[功能代號]],E:Q,11,FALSE)),"")</f>
        <v>許慧玉</v>
      </c>
      <c r="AH88" s="226"/>
      <c r="AI88" s="226"/>
      <c r="AJ88" s="307"/>
      <c r="AK88" s="226"/>
      <c r="AN88" s="307" t="e">
        <f>VLOOKUP(功能_33[[#This Row],[功能代號]],工作表2!B:B,1,FALSE)</f>
        <v>#N/A</v>
      </c>
    </row>
    <row r="89" spans="1:40" ht="14.25" hidden="1" customHeight="1">
      <c r="A89" s="224">
        <v>92</v>
      </c>
      <c r="B8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307" t="s">
        <v>104</v>
      </c>
      <c r="D89" s="307" t="s">
        <v>384</v>
      </c>
      <c r="E89" s="308" t="s">
        <v>393</v>
      </c>
      <c r="F89" s="307" t="s">
        <v>394</v>
      </c>
      <c r="G89" s="307"/>
      <c r="H89" s="308" t="s">
        <v>203</v>
      </c>
      <c r="I89" s="308" t="s">
        <v>204</v>
      </c>
      <c r="J89" s="229"/>
      <c r="K89" s="226">
        <v>44447</v>
      </c>
      <c r="L89" s="226">
        <v>44447</v>
      </c>
      <c r="M89" s="226" t="str">
        <f>IFERROR(IF(VLOOKUP(功能_33[[#This Row],[功能代號]],討論項目!A:H,8,FALSE)=0,"",VLOOKUP(功能_33[[#This Row],[功能代號]],討論項目!A:H,8,FALSE)),"")</f>
        <v/>
      </c>
      <c r="N89" s="308" t="s">
        <v>12</v>
      </c>
      <c r="O89" s="308" t="s">
        <v>22</v>
      </c>
      <c r="T89" s="308"/>
      <c r="V89" s="308"/>
      <c r="W89" s="308"/>
      <c r="X89" s="307" t="str">
        <f>VLOOKUP(功能_33[[#This Row],[User]],SKL放款!A:G,7,FALSE)</f>
        <v>放款服務課</v>
      </c>
      <c r="Y89" s="228">
        <f>IF(功能_33[[#This Row],[實際展示]]="","",功能_33[[#This Row],[實際展示]]+14)</f>
        <v>44461</v>
      </c>
      <c r="Z89" s="226" t="s">
        <v>213</v>
      </c>
      <c r="AA89" s="226">
        <v>44516</v>
      </c>
      <c r="AB89" s="226">
        <v>44516</v>
      </c>
      <c r="AC89" s="226"/>
      <c r="AD89" s="226"/>
      <c r="AE89" s="226"/>
      <c r="AF89" s="355"/>
      <c r="AG89" s="226" t="str">
        <f>IFERROR(IF(VLOOKUP(功能_33[[#This Row],[功能代號]],E:Q,11,FALSE)=0,"",VLOOKUP(功能_33[[#This Row],[功能代號]],E:Q,11,FALSE)),"")</f>
        <v>許慧玉</v>
      </c>
      <c r="AH89" s="226"/>
      <c r="AI89" s="226"/>
      <c r="AJ89" s="307"/>
      <c r="AK89" s="226"/>
      <c r="AN89" s="307" t="str">
        <f>VLOOKUP(功能_33[[#This Row],[功能代號]],工作表2!B:B,1,FALSE)</f>
        <v>L4940</v>
      </c>
    </row>
    <row r="90" spans="1:40" ht="14.25" hidden="1" customHeight="1">
      <c r="A90" s="224"/>
      <c r="B90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07" t="s">
        <v>104</v>
      </c>
      <c r="D90" s="307" t="s">
        <v>384</v>
      </c>
      <c r="E90" s="308" t="s">
        <v>395</v>
      </c>
      <c r="F90" s="307" t="s">
        <v>396</v>
      </c>
      <c r="G90" s="307"/>
      <c r="H90" s="308" t="s">
        <v>203</v>
      </c>
      <c r="I90" s="308" t="s">
        <v>204</v>
      </c>
      <c r="J90" s="229"/>
      <c r="K90" s="226">
        <v>44447</v>
      </c>
      <c r="L90" s="226">
        <v>44447</v>
      </c>
      <c r="M90" s="226" t="str">
        <f>IFERROR(IF(VLOOKUP(功能_33[[#This Row],[功能代號]],討論項目!A:H,8,FALSE)=0,"",VLOOKUP(功能_33[[#This Row],[功能代號]],討論項目!A:H,8,FALSE)),"")</f>
        <v/>
      </c>
      <c r="N90" s="308" t="s">
        <v>12</v>
      </c>
      <c r="O90" s="308" t="s">
        <v>22</v>
      </c>
      <c r="T90" s="308"/>
      <c r="V90" s="308"/>
      <c r="W90" s="308"/>
      <c r="X90" s="307" t="str">
        <f>VLOOKUP(功能_33[[#This Row],[User]],SKL放款!A:G,7,FALSE)</f>
        <v>放款服務課</v>
      </c>
      <c r="Y90" s="228">
        <f>IF(功能_33[[#This Row],[實際展示]]="","",功能_33[[#This Row],[實際展示]]+14)</f>
        <v>44461</v>
      </c>
      <c r="Z90" s="226" t="s">
        <v>213</v>
      </c>
      <c r="AA90" s="226">
        <v>44516</v>
      </c>
      <c r="AB90" s="226">
        <v>44516</v>
      </c>
      <c r="AC90" s="226"/>
      <c r="AD90" s="226"/>
      <c r="AE90" s="226"/>
      <c r="AF90" s="355"/>
      <c r="AG90" s="226" t="str">
        <f>IFERROR(IF(VLOOKUP(功能_33[[#This Row],[功能代號]],E:Q,11,FALSE)=0,"",VLOOKUP(功能_33[[#This Row],[功能代號]],E:Q,11,FALSE)),"")</f>
        <v>許慧玉</v>
      </c>
      <c r="AH90" s="226"/>
      <c r="AI90" s="226"/>
      <c r="AJ90" s="307"/>
      <c r="AK90" s="226"/>
      <c r="AN90" s="307" t="str">
        <f>VLOOKUP(功能_33[[#This Row],[功能代號]],工作表2!B:B,1,FALSE)</f>
        <v>L4941</v>
      </c>
    </row>
    <row r="91" spans="1:40" ht="14.25" hidden="1" customHeight="1">
      <c r="A91" s="224">
        <v>88</v>
      </c>
      <c r="B91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307" t="s">
        <v>104</v>
      </c>
      <c r="D91" s="307" t="s">
        <v>384</v>
      </c>
      <c r="E91" s="308" t="s">
        <v>397</v>
      </c>
      <c r="F91" s="307" t="s">
        <v>398</v>
      </c>
      <c r="G91" s="307"/>
      <c r="H91" s="308" t="s">
        <v>203</v>
      </c>
      <c r="I91" s="308" t="s">
        <v>204</v>
      </c>
      <c r="J91" s="229"/>
      <c r="K91" s="226">
        <v>44448</v>
      </c>
      <c r="L91" s="226">
        <v>44448</v>
      </c>
      <c r="M91" s="226" t="str">
        <f>IFERROR(IF(VLOOKUP(功能_33[[#This Row],[功能代號]],討論項目!A:H,8,FALSE)=0,"",VLOOKUP(功能_33[[#This Row],[功能代號]],討論項目!A:H,8,FALSE)),"")</f>
        <v/>
      </c>
      <c r="N91" s="308" t="s">
        <v>12</v>
      </c>
      <c r="O91" s="308" t="s">
        <v>23</v>
      </c>
      <c r="T91" s="308"/>
      <c r="V91" s="308"/>
      <c r="W91" s="308"/>
      <c r="X91" s="307" t="str">
        <f>VLOOKUP(功能_33[[#This Row],[User]],SKL放款!A:G,7,FALSE)</f>
        <v>放款服務課</v>
      </c>
      <c r="Y91" s="228">
        <f>IF(功能_33[[#This Row],[實際展示]]="","",功能_33[[#This Row],[實際展示]]+14)</f>
        <v>44462</v>
      </c>
      <c r="Z91" s="226" t="s">
        <v>213</v>
      </c>
      <c r="AA91" s="226">
        <v>44516</v>
      </c>
      <c r="AB91" s="226">
        <v>44516</v>
      </c>
      <c r="AC91" s="226"/>
      <c r="AD91" s="226"/>
      <c r="AE91" s="226"/>
      <c r="AF91" s="355"/>
      <c r="AG91" s="226" t="str">
        <f>IFERROR(IF(VLOOKUP(功能_33[[#This Row],[功能代號]],E:Q,11,FALSE)=0,"",VLOOKUP(功能_33[[#This Row],[功能代號]],E:Q,11,FALSE)),"")</f>
        <v>宋郁宏</v>
      </c>
      <c r="AH91" s="226"/>
      <c r="AI91" s="226"/>
      <c r="AJ91" s="307"/>
      <c r="AK91" s="226"/>
      <c r="AN91" s="307" t="str">
        <f>VLOOKUP(功能_33[[#This Row],[功能代號]],工作表2!B:B,1,FALSE)</f>
        <v>L4043</v>
      </c>
    </row>
    <row r="92" spans="1:40" ht="14.25" hidden="1" customHeight="1">
      <c r="A92" s="224">
        <v>89</v>
      </c>
      <c r="B9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2" s="307" t="s">
        <v>104</v>
      </c>
      <c r="D92" s="307" t="s">
        <v>384</v>
      </c>
      <c r="E92" s="308" t="s">
        <v>399</v>
      </c>
      <c r="F92" s="307" t="s">
        <v>400</v>
      </c>
      <c r="G92" s="307"/>
      <c r="H92" s="308" t="s">
        <v>203</v>
      </c>
      <c r="I92" s="308" t="s">
        <v>204</v>
      </c>
      <c r="J92" s="229"/>
      <c r="K92" s="226">
        <v>44448</v>
      </c>
      <c r="L92" s="226">
        <v>44448</v>
      </c>
      <c r="M92" s="226" t="str">
        <f>IFERROR(IF(VLOOKUP(功能_33[[#This Row],[功能代號]],討論項目!A:H,8,FALSE)=0,"",VLOOKUP(功能_33[[#This Row],[功能代號]],討論項目!A:H,8,FALSE)),"")</f>
        <v/>
      </c>
      <c r="N92" s="308" t="s">
        <v>12</v>
      </c>
      <c r="O92" s="308" t="s">
        <v>23</v>
      </c>
      <c r="T92" s="308"/>
      <c r="V92" s="308"/>
      <c r="W92" s="308"/>
      <c r="X92" s="307" t="str">
        <f>VLOOKUP(功能_33[[#This Row],[User]],SKL放款!A:G,7,FALSE)</f>
        <v>放款服務課</v>
      </c>
      <c r="Y92" s="228">
        <f>IF(功能_33[[#This Row],[實際展示]]="","",功能_33[[#This Row],[實際展示]]+14)</f>
        <v>44462</v>
      </c>
      <c r="Z92" s="226" t="s">
        <v>213</v>
      </c>
      <c r="AA92" s="226">
        <v>44516</v>
      </c>
      <c r="AB92" s="226">
        <v>44516</v>
      </c>
      <c r="AC92" s="226"/>
      <c r="AD92" s="226"/>
      <c r="AE92" s="226"/>
      <c r="AF92" s="355"/>
      <c r="AG92" s="226" t="str">
        <f>IFERROR(IF(VLOOKUP(功能_33[[#This Row],[功能代號]],E:Q,11,FALSE)=0,"",VLOOKUP(功能_33[[#This Row],[功能代號]],E:Q,11,FALSE)),"")</f>
        <v>宋郁宏</v>
      </c>
      <c r="AH92" s="226"/>
      <c r="AI92" s="226"/>
      <c r="AJ92" s="307"/>
      <c r="AK92" s="226"/>
      <c r="AN92" s="307" t="str">
        <f>VLOOKUP(功能_33[[#This Row],[功能代號]],工作表2!B:B,1,FALSE)</f>
        <v>L4412</v>
      </c>
    </row>
    <row r="93" spans="1:40" ht="14.25" hidden="1" customHeight="1">
      <c r="A93" s="224">
        <v>90</v>
      </c>
      <c r="B93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307" t="s">
        <v>104</v>
      </c>
      <c r="D93" s="307" t="s">
        <v>384</v>
      </c>
      <c r="E93" s="308" t="s">
        <v>401</v>
      </c>
      <c r="F93" s="307" t="s">
        <v>402</v>
      </c>
      <c r="G93" s="307"/>
      <c r="H93" s="308" t="s">
        <v>203</v>
      </c>
      <c r="I93" s="308" t="s">
        <v>204</v>
      </c>
      <c r="J93" s="229"/>
      <c r="K93" s="226">
        <v>44448</v>
      </c>
      <c r="L93" s="226">
        <v>44448</v>
      </c>
      <c r="M93" s="226" t="str">
        <f>IFERROR(IF(VLOOKUP(功能_33[[#This Row],[功能代號]],討論項目!A:H,8,FALSE)=0,"",VLOOKUP(功能_33[[#This Row],[功能代號]],討論項目!A:H,8,FALSE)),"")</f>
        <v/>
      </c>
      <c r="N93" s="308" t="s">
        <v>12</v>
      </c>
      <c r="O93" s="308" t="s">
        <v>23</v>
      </c>
      <c r="T93" s="308"/>
      <c r="V93" s="308"/>
      <c r="W93" s="308"/>
      <c r="X93" s="307" t="str">
        <f>VLOOKUP(功能_33[[#This Row],[User]],SKL放款!A:G,7,FALSE)</f>
        <v>放款服務課</v>
      </c>
      <c r="Y93" s="228">
        <f>IF(功能_33[[#This Row],[實際展示]]="","",功能_33[[#This Row],[實際展示]]+14)</f>
        <v>44462</v>
      </c>
      <c r="Z93" s="226" t="s">
        <v>205</v>
      </c>
      <c r="AA93" s="226">
        <v>44516</v>
      </c>
      <c r="AB93" s="226">
        <v>44516</v>
      </c>
      <c r="AC93" s="226"/>
      <c r="AD93" s="226"/>
      <c r="AE93" s="226"/>
      <c r="AF93" s="355"/>
      <c r="AG93" s="226" t="str">
        <f>IFERROR(IF(VLOOKUP(功能_33[[#This Row],[功能代號]],E:Q,11,FALSE)=0,"",VLOOKUP(功能_33[[#This Row],[功能代號]],E:Q,11,FALSE)),"")</f>
        <v>宋郁宏</v>
      </c>
      <c r="AH93" s="226"/>
      <c r="AI93" s="226"/>
      <c r="AJ93" s="307"/>
      <c r="AK93" s="226"/>
      <c r="AN93" s="307" t="e">
        <f>VLOOKUP(功能_33[[#This Row],[功能代號]],工作表2!B:B,1,FALSE)</f>
        <v>#N/A</v>
      </c>
    </row>
    <row r="94" spans="1:40" ht="14.25" hidden="1" customHeight="1">
      <c r="A94" s="224"/>
      <c r="B94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4" s="307" t="s">
        <v>104</v>
      </c>
      <c r="D94" s="307" t="s">
        <v>384</v>
      </c>
      <c r="E94" s="308" t="s">
        <v>403</v>
      </c>
      <c r="F94" s="307" t="s">
        <v>404</v>
      </c>
      <c r="G94" s="307"/>
      <c r="H94" s="308" t="s">
        <v>203</v>
      </c>
      <c r="I94" s="308" t="s">
        <v>204</v>
      </c>
      <c r="J94" s="229"/>
      <c r="K94" s="226">
        <v>44448</v>
      </c>
      <c r="L94" s="226">
        <v>44448</v>
      </c>
      <c r="M94" s="226" t="str">
        <f>IFERROR(IF(VLOOKUP(功能_33[[#This Row],[功能代號]],討論項目!A:H,8,FALSE)=0,"",VLOOKUP(功能_33[[#This Row],[功能代號]],討論項目!A:H,8,FALSE)),"")</f>
        <v/>
      </c>
      <c r="N94" s="308" t="s">
        <v>12</v>
      </c>
      <c r="O94" s="308" t="s">
        <v>23</v>
      </c>
      <c r="T94" s="308"/>
      <c r="V94" s="308"/>
      <c r="W94" s="308"/>
      <c r="X94" s="307" t="str">
        <f>VLOOKUP(功能_33[[#This Row],[User]],SKL放款!A:G,7,FALSE)</f>
        <v>放款服務課</v>
      </c>
      <c r="Y94" s="228">
        <f>IF(功能_33[[#This Row],[實際展示]]="","",功能_33[[#This Row],[實際展示]]+14)</f>
        <v>44462</v>
      </c>
      <c r="Z94" s="226" t="s">
        <v>205</v>
      </c>
      <c r="AA94" s="226">
        <v>44516</v>
      </c>
      <c r="AB94" s="226">
        <v>44516</v>
      </c>
      <c r="AC94" s="226"/>
      <c r="AD94" s="226"/>
      <c r="AE94" s="226"/>
      <c r="AF94" s="355"/>
      <c r="AG94" s="226" t="str">
        <f>IFERROR(IF(VLOOKUP(功能_33[[#This Row],[功能代號]],E:Q,11,FALSE)=0,"",VLOOKUP(功能_33[[#This Row],[功能代號]],E:Q,11,FALSE)),"")</f>
        <v>宋郁宏</v>
      </c>
      <c r="AH94" s="226"/>
      <c r="AI94" s="226"/>
      <c r="AJ94" s="307"/>
      <c r="AK94" s="226"/>
      <c r="AN94" s="307" t="e">
        <f>VLOOKUP(功能_33[[#This Row],[功能代號]],工作表2!B:B,1,FALSE)</f>
        <v>#N/A</v>
      </c>
    </row>
    <row r="95" spans="1:40" ht="14.25" hidden="1" customHeight="1">
      <c r="A95" s="224">
        <v>205</v>
      </c>
      <c r="B95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5" s="307" t="s">
        <v>103</v>
      </c>
      <c r="D95" s="307"/>
      <c r="E95" s="308" t="s">
        <v>405</v>
      </c>
      <c r="F95" s="307" t="s">
        <v>406</v>
      </c>
      <c r="G95" s="307"/>
      <c r="H95" s="308" t="s">
        <v>203</v>
      </c>
      <c r="I95" s="308" t="s">
        <v>204</v>
      </c>
      <c r="J95" s="229" t="s">
        <v>326</v>
      </c>
      <c r="K95" s="226">
        <v>44452</v>
      </c>
      <c r="L95" s="226">
        <v>44452</v>
      </c>
      <c r="M95" s="226" t="str">
        <f>IFERROR(IF(VLOOKUP(功能_33[[#This Row],[功能代號]],討論項目!A:H,8,FALSE)=0,"",VLOOKUP(功能_33[[#This Row],[功能代號]],討論項目!A:H,8,FALSE)),"")</f>
        <v/>
      </c>
      <c r="N95" s="308" t="s">
        <v>8</v>
      </c>
      <c r="O95" s="308" t="s">
        <v>24</v>
      </c>
      <c r="T95" s="308"/>
      <c r="V95" s="308"/>
      <c r="W95" s="308"/>
      <c r="X95" s="307" t="str">
        <f>VLOOKUP(功能_33[[#This Row],[User]],SKL放款!A:G,7,FALSE)</f>
        <v>放款服務課</v>
      </c>
      <c r="Y95" s="228">
        <f>IF(功能_33[[#This Row],[實際展示]]="","",功能_33[[#This Row],[實際展示]]+14)</f>
        <v>44466</v>
      </c>
      <c r="Z95" s="226">
        <v>44488</v>
      </c>
      <c r="AA95" s="226">
        <v>44496</v>
      </c>
      <c r="AB95" s="226">
        <v>44496</v>
      </c>
      <c r="AC95" s="226">
        <v>44512</v>
      </c>
      <c r="AD95" s="226" t="s">
        <v>198</v>
      </c>
      <c r="AE95" s="226"/>
      <c r="AF95" s="355"/>
      <c r="AG95" s="226" t="str">
        <f>IFERROR(IF(VLOOKUP(功能_33[[#This Row],[功能代號]],E:Q,11,FALSE)=0,"",VLOOKUP(功能_33[[#This Row],[功能代號]],E:Q,11,FALSE)),"")</f>
        <v>邵淑微</v>
      </c>
      <c r="AH95" s="226"/>
      <c r="AI95" s="226"/>
      <c r="AJ95" s="307"/>
      <c r="AK95" s="226"/>
      <c r="AL95" s="308">
        <v>336</v>
      </c>
      <c r="AM95" s="307" t="s">
        <v>407</v>
      </c>
      <c r="AN95" s="307" t="e">
        <f>VLOOKUP(功能_33[[#This Row],[功能代號]],工作表2!B:B,1,FALSE)</f>
        <v>#N/A</v>
      </c>
    </row>
    <row r="96" spans="1:40" ht="14.25" hidden="1" customHeight="1">
      <c r="A96" s="224">
        <v>209</v>
      </c>
      <c r="B96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6" s="307" t="s">
        <v>103</v>
      </c>
      <c r="D96" s="307"/>
      <c r="E96" s="308" t="s">
        <v>408</v>
      </c>
      <c r="F96" s="307" t="s">
        <v>409</v>
      </c>
      <c r="G96" s="307"/>
      <c r="H96" s="308" t="s">
        <v>203</v>
      </c>
      <c r="I96" s="308" t="s">
        <v>204</v>
      </c>
      <c r="J96" s="229" t="s">
        <v>326</v>
      </c>
      <c r="K96" s="226">
        <v>44452</v>
      </c>
      <c r="L96" s="226">
        <v>44452</v>
      </c>
      <c r="M96" s="226">
        <f>IFERROR(IF(VLOOKUP(功能_33[[#This Row],[功能代號]],討論項目!A:H,8,FALSE)=0,"",VLOOKUP(功能_33[[#This Row],[功能代號]],討論項目!A:H,8,FALSE)),"")</f>
        <v>44487</v>
      </c>
      <c r="N96" s="308" t="s">
        <v>8</v>
      </c>
      <c r="O96" s="308" t="s">
        <v>24</v>
      </c>
      <c r="T96" s="308"/>
      <c r="V96" s="308"/>
      <c r="W96" s="308"/>
      <c r="X96" s="307" t="str">
        <f>VLOOKUP(功能_33[[#This Row],[User]],SKL放款!A:G,7,FALSE)</f>
        <v>放款服務課</v>
      </c>
      <c r="Y96" s="228">
        <f>IF(功能_33[[#This Row],[實際展示]]="","",功能_33[[#This Row],[實際展示]]+14)</f>
        <v>44466</v>
      </c>
      <c r="Z96" s="226">
        <v>44488</v>
      </c>
      <c r="AA96" s="226">
        <v>44497</v>
      </c>
      <c r="AB96" s="226">
        <v>44497</v>
      </c>
      <c r="AC96" s="226">
        <v>44512</v>
      </c>
      <c r="AD96" s="226" t="s">
        <v>198</v>
      </c>
      <c r="AE96" s="226"/>
      <c r="AF96" s="355"/>
      <c r="AG96" s="226" t="str">
        <f>IFERROR(IF(VLOOKUP(功能_33[[#This Row],[功能代號]],E:Q,11,FALSE)=0,"",VLOOKUP(功能_33[[#This Row],[功能代號]],E:Q,11,FALSE)),"")</f>
        <v>邵淑微</v>
      </c>
      <c r="AH96" s="226"/>
      <c r="AI96" s="226"/>
      <c r="AJ96" s="307"/>
      <c r="AK96" s="226"/>
      <c r="AL96" s="308">
        <v>337</v>
      </c>
      <c r="AM96" s="307" t="s">
        <v>410</v>
      </c>
      <c r="AN96" s="307" t="str">
        <f>VLOOKUP(功能_33[[#This Row],[功能代號]],工作表2!B:B,1,FALSE)</f>
        <v>L3220</v>
      </c>
    </row>
    <row r="97" spans="1:40" ht="14.25" hidden="1" customHeight="1">
      <c r="A97" s="224"/>
      <c r="B97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7" s="307" t="s">
        <v>104</v>
      </c>
      <c r="D97" s="230" t="s">
        <v>374</v>
      </c>
      <c r="E97" s="308" t="s">
        <v>411</v>
      </c>
      <c r="F97" s="307" t="s">
        <v>412</v>
      </c>
      <c r="G97" s="307" t="s">
        <v>413</v>
      </c>
      <c r="H97" s="308" t="s">
        <v>203</v>
      </c>
      <c r="I97" s="308" t="s">
        <v>239</v>
      </c>
      <c r="J97" s="229"/>
      <c r="K97" s="226">
        <v>44481</v>
      </c>
      <c r="L97" s="226">
        <v>44484</v>
      </c>
      <c r="M97" s="226" t="str">
        <f>IFERROR(IF(VLOOKUP(功能_33[[#This Row],[功能代號]],討論項目!A:H,8,FALSE)=0,"",VLOOKUP(功能_33[[#This Row],[功能代號]],討論項目!A:H,8,FALSE)),"")</f>
        <v/>
      </c>
      <c r="N97" s="308" t="s">
        <v>12</v>
      </c>
      <c r="O97" s="308" t="s">
        <v>18</v>
      </c>
      <c r="T97" s="308"/>
      <c r="V97" s="308"/>
      <c r="W97" s="308"/>
      <c r="X97" s="307" t="str">
        <f>VLOOKUP(功能_33[[#This Row],[User]],SKL放款!A:G,7,FALSE)</f>
        <v>放款服務課</v>
      </c>
      <c r="Y97" s="228">
        <f>IF(功能_33[[#This Row],[實際展示]]="","",功能_33[[#This Row],[實際展示]]+14)</f>
        <v>44498</v>
      </c>
      <c r="Z97" s="226" t="s">
        <v>213</v>
      </c>
      <c r="AA97" s="226">
        <v>44523</v>
      </c>
      <c r="AB97" s="226"/>
      <c r="AC97" s="226"/>
      <c r="AD97" s="226"/>
      <c r="AE97" s="226"/>
      <c r="AF97" s="226"/>
      <c r="AG97" s="226" t="str">
        <f>IFERROR(IF(VLOOKUP(功能_33[[#This Row],[功能代號]],E:Q,11,FALSE)=0,"",VLOOKUP(功能_33[[#This Row],[功能代號]],E:Q,11,FALSE)),"")</f>
        <v>尹少玄</v>
      </c>
      <c r="AH97" s="226"/>
      <c r="AI97" s="226"/>
      <c r="AJ97" s="307"/>
      <c r="AN97" s="307" t="e">
        <f>VLOOKUP(功能_33[[#This Row],[功能代號]],工作表2!B:B,1,FALSE)</f>
        <v>#N/A</v>
      </c>
    </row>
    <row r="98" spans="1:40" ht="14.25" hidden="1" customHeight="1">
      <c r="A98" s="224"/>
      <c r="B98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8" s="307" t="s">
        <v>104</v>
      </c>
      <c r="D98" s="230" t="s">
        <v>374</v>
      </c>
      <c r="E98" s="308" t="s">
        <v>414</v>
      </c>
      <c r="F98" s="307" t="s">
        <v>415</v>
      </c>
      <c r="G98" s="307" t="s">
        <v>413</v>
      </c>
      <c r="H98" s="308" t="s">
        <v>203</v>
      </c>
      <c r="I98" s="308" t="s">
        <v>239</v>
      </c>
      <c r="J98" s="229"/>
      <c r="K98" s="226">
        <v>44481</v>
      </c>
      <c r="L98" s="226">
        <v>44484</v>
      </c>
      <c r="M98" s="226" t="str">
        <f>IFERROR(IF(VLOOKUP(功能_33[[#This Row],[功能代號]],討論項目!A:H,8,FALSE)=0,"",VLOOKUP(功能_33[[#This Row],[功能代號]],討論項目!A:H,8,FALSE)),"")</f>
        <v/>
      </c>
      <c r="N98" s="308" t="s">
        <v>12</v>
      </c>
      <c r="O98" s="308" t="s">
        <v>18</v>
      </c>
      <c r="T98" s="308"/>
      <c r="V98" s="308"/>
      <c r="W98" s="308"/>
      <c r="X98" s="307" t="str">
        <f>VLOOKUP(功能_33[[#This Row],[User]],SKL放款!A:G,7,FALSE)</f>
        <v>放款服務課</v>
      </c>
      <c r="Y98" s="228">
        <f>IF(功能_33[[#This Row],[實際展示]]="","",功能_33[[#This Row],[實際展示]]+14)</f>
        <v>44498</v>
      </c>
      <c r="Z98" s="226" t="s">
        <v>213</v>
      </c>
      <c r="AA98" s="226">
        <v>44523</v>
      </c>
      <c r="AB98" s="226"/>
      <c r="AC98" s="226"/>
      <c r="AD98" s="226"/>
      <c r="AE98" s="226"/>
      <c r="AF98" s="226"/>
      <c r="AG98" s="226" t="str">
        <f>IFERROR(IF(VLOOKUP(功能_33[[#This Row],[功能代號]],E:Q,11,FALSE)=0,"",VLOOKUP(功能_33[[#This Row],[功能代號]],E:Q,11,FALSE)),"")</f>
        <v>尹少玄</v>
      </c>
      <c r="AH98" s="226"/>
      <c r="AI98" s="226"/>
      <c r="AJ98" s="307"/>
      <c r="AN98" s="307" t="e">
        <f>VLOOKUP(功能_33[[#This Row],[功能代號]],工作表2!B:B,1,FALSE)</f>
        <v>#N/A</v>
      </c>
    </row>
    <row r="99" spans="1:40" ht="14.25" hidden="1" customHeight="1">
      <c r="A99" s="224"/>
      <c r="B99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9" s="307" t="s">
        <v>104</v>
      </c>
      <c r="D99" s="230" t="s">
        <v>2798</v>
      </c>
      <c r="E99" s="308" t="s">
        <v>416</v>
      </c>
      <c r="F99" s="307" t="s">
        <v>417</v>
      </c>
      <c r="G99" s="307" t="s">
        <v>413</v>
      </c>
      <c r="H99" s="308" t="s">
        <v>203</v>
      </c>
      <c r="I99" s="308" t="s">
        <v>239</v>
      </c>
      <c r="J99" s="229"/>
      <c r="K99" s="226">
        <v>44481</v>
      </c>
      <c r="L99" s="226">
        <v>44484</v>
      </c>
      <c r="M99" s="226" t="str">
        <f>IFERROR(IF(VLOOKUP(功能_33[[#This Row],[功能代號]],討論項目!A:H,8,FALSE)=0,"",VLOOKUP(功能_33[[#This Row],[功能代號]],討論項目!A:H,8,FALSE)),"")</f>
        <v/>
      </c>
      <c r="N99" s="308" t="s">
        <v>12</v>
      </c>
      <c r="O99" s="308" t="s">
        <v>22</v>
      </c>
      <c r="T99" s="308"/>
      <c r="V99" s="308"/>
      <c r="W99" s="308"/>
      <c r="X99" s="307" t="str">
        <f>VLOOKUP(功能_33[[#This Row],[User]],SKL放款!A:G,7,FALSE)</f>
        <v>放款服務課</v>
      </c>
      <c r="Y99" s="228">
        <f>IF(功能_33[[#This Row],[實際展示]]="","",功能_33[[#This Row],[實際展示]]+14)</f>
        <v>44498</v>
      </c>
      <c r="Z99" s="226" t="s">
        <v>213</v>
      </c>
      <c r="AA99" s="226">
        <v>44523</v>
      </c>
      <c r="AB99" s="226"/>
      <c r="AC99" s="226"/>
      <c r="AD99" s="226"/>
      <c r="AE99" s="226"/>
      <c r="AF99" s="226"/>
      <c r="AG99" s="226" t="str">
        <f>IFERROR(IF(VLOOKUP(功能_33[[#This Row],[功能代號]],E:Q,11,FALSE)=0,"",VLOOKUP(功能_33[[#This Row],[功能代號]],E:Q,11,FALSE)),"")</f>
        <v>許慧玉</v>
      </c>
      <c r="AH99" s="226"/>
      <c r="AI99" s="226"/>
      <c r="AJ99" s="307"/>
      <c r="AN99" s="307" t="e">
        <f>VLOOKUP(功能_33[[#This Row],[功能代號]],工作表2!B:B,1,FALSE)</f>
        <v>#N/A</v>
      </c>
    </row>
    <row r="100" spans="1:40" ht="14.25" hidden="1" customHeight="1">
      <c r="A100" s="224"/>
      <c r="B1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0" s="307" t="s">
        <v>104</v>
      </c>
      <c r="D100" s="230" t="s">
        <v>2798</v>
      </c>
      <c r="E100" s="308" t="s">
        <v>418</v>
      </c>
      <c r="F100" s="307" t="s">
        <v>419</v>
      </c>
      <c r="G100" s="307" t="s">
        <v>413</v>
      </c>
      <c r="H100" s="308" t="s">
        <v>203</v>
      </c>
      <c r="I100" s="308" t="s">
        <v>239</v>
      </c>
      <c r="J100" s="229"/>
      <c r="K100" s="226">
        <v>44481</v>
      </c>
      <c r="L100" s="226">
        <v>44484</v>
      </c>
      <c r="M100" s="226" t="str">
        <f>IFERROR(IF(VLOOKUP(功能_33[[#This Row],[功能代號]],討論項目!A:H,8,FALSE)=0,"",VLOOKUP(功能_33[[#This Row],[功能代號]],討論項目!A:H,8,FALSE)),"")</f>
        <v/>
      </c>
      <c r="N100" s="308" t="s">
        <v>12</v>
      </c>
      <c r="O100" s="308" t="s">
        <v>22</v>
      </c>
      <c r="T100" s="308"/>
      <c r="V100" s="308"/>
      <c r="W100" s="308"/>
      <c r="X100" s="307" t="str">
        <f>VLOOKUP(功能_33[[#This Row],[User]],SKL放款!A:G,7,FALSE)</f>
        <v>放款服務課</v>
      </c>
      <c r="Y100" s="228">
        <f>IF(功能_33[[#This Row],[實際展示]]="","",功能_33[[#This Row],[實際展示]]+14)</f>
        <v>44498</v>
      </c>
      <c r="Z100" s="226" t="s">
        <v>213</v>
      </c>
      <c r="AA100" s="226">
        <v>44523</v>
      </c>
      <c r="AB100" s="226"/>
      <c r="AC100" s="226"/>
      <c r="AD100" s="226"/>
      <c r="AE100" s="226"/>
      <c r="AF100" s="226"/>
      <c r="AG100" s="226" t="str">
        <f>IFERROR(IF(VLOOKUP(功能_33[[#This Row],[功能代號]],E:Q,11,FALSE)=0,"",VLOOKUP(功能_33[[#This Row],[功能代號]],E:Q,11,FALSE)),"")</f>
        <v>許慧玉</v>
      </c>
      <c r="AH100" s="226"/>
      <c r="AI100" s="226"/>
      <c r="AJ100" s="307"/>
      <c r="AN100" s="307" t="e">
        <f>VLOOKUP(功能_33[[#This Row],[功能代號]],工作表2!B:B,1,FALSE)</f>
        <v>#N/A</v>
      </c>
    </row>
    <row r="101" spans="1:40" ht="14.25" customHeight="1">
      <c r="A101" s="224">
        <v>296</v>
      </c>
      <c r="B101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1" s="307" t="s">
        <v>106</v>
      </c>
      <c r="D101" s="307"/>
      <c r="E101" s="308" t="s">
        <v>420</v>
      </c>
      <c r="F101" s="307" t="s">
        <v>421</v>
      </c>
      <c r="G101" s="307"/>
      <c r="H101" s="308" t="s">
        <v>203</v>
      </c>
      <c r="I101" s="308" t="s">
        <v>330</v>
      </c>
      <c r="J101" s="229" t="s">
        <v>2843</v>
      </c>
      <c r="K101" s="226">
        <v>44452</v>
      </c>
      <c r="L101" s="226">
        <v>44452</v>
      </c>
      <c r="M101" s="226">
        <f>IFERROR(IF(VLOOKUP(功能_33[[#This Row],[功能代號]],討論項目!A:H,8,FALSE)=0,"",VLOOKUP(功能_33[[#This Row],[功能代號]],討論項目!A:H,8,FALSE)),"")</f>
        <v>44466</v>
      </c>
      <c r="N101" s="308" t="s">
        <v>12</v>
      </c>
      <c r="O101" s="308" t="s">
        <v>180</v>
      </c>
      <c r="T101" s="308"/>
      <c r="V101" s="308"/>
      <c r="W101" s="308"/>
      <c r="X101" s="307" t="str">
        <f>VLOOKUP(功能_33[[#This Row],[User]],SKL放款!A:G,7,FALSE)</f>
        <v>放款服務課</v>
      </c>
      <c r="Y101" s="228">
        <f>IF(功能_33[[#This Row],[實際展示]]="","",功能_33[[#This Row],[實際展示]]+14)</f>
        <v>44466</v>
      </c>
      <c r="Z101" s="226" t="s">
        <v>2808</v>
      </c>
      <c r="AA101" s="226"/>
      <c r="AB101" s="226"/>
      <c r="AC101" s="226"/>
      <c r="AD101" s="226"/>
      <c r="AE101" s="226"/>
      <c r="AF101" s="355"/>
      <c r="AG101" s="226" t="str">
        <f>IFERROR(IF(VLOOKUP(功能_33[[#This Row],[功能代號]],E:Q,11,FALSE)=0,"",VLOOKUP(功能_33[[#This Row],[功能代號]],E:Q,11,FALSE)),"")</f>
        <v>陳政皓</v>
      </c>
      <c r="AH101" s="226"/>
      <c r="AI101" s="226"/>
      <c r="AJ101" s="307"/>
      <c r="AK101" s="228" t="s">
        <v>422</v>
      </c>
      <c r="AN101" s="307" t="str">
        <f>VLOOKUP(功能_33[[#This Row],[功能代號]],工作表2!B:B,1,FALSE)</f>
        <v>L6101</v>
      </c>
    </row>
    <row r="102" spans="1:40" ht="14.25" hidden="1" customHeight="1">
      <c r="A102" s="224">
        <v>223</v>
      </c>
      <c r="B102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2" s="307" t="s">
        <v>104</v>
      </c>
      <c r="D102" s="307" t="s">
        <v>423</v>
      </c>
      <c r="E102" s="308" t="s">
        <v>424</v>
      </c>
      <c r="F102" s="307" t="s">
        <v>425</v>
      </c>
      <c r="G102" s="307"/>
      <c r="H102" s="308" t="s">
        <v>203</v>
      </c>
      <c r="I102" s="308" t="s">
        <v>204</v>
      </c>
      <c r="J102" s="229"/>
      <c r="K102" s="226">
        <v>44452</v>
      </c>
      <c r="L102" s="226">
        <v>44452</v>
      </c>
      <c r="M102" s="226" t="str">
        <f>IFERROR(IF(VLOOKUP(功能_33[[#This Row],[功能代號]],討論項目!A:H,8,FALSE)=0,"",VLOOKUP(功能_33[[#This Row],[功能代號]],討論項目!A:H,8,FALSE)),"")</f>
        <v/>
      </c>
      <c r="N102" s="308" t="s">
        <v>8</v>
      </c>
      <c r="O102" s="308" t="s">
        <v>24</v>
      </c>
      <c r="T102" s="308"/>
      <c r="V102" s="308"/>
      <c r="W102" s="308"/>
      <c r="X102" s="307" t="str">
        <f>VLOOKUP(功能_33[[#This Row],[User]],SKL放款!A:G,7,FALSE)</f>
        <v>放款服務課</v>
      </c>
      <c r="Y102" s="228">
        <f>IF(功能_33[[#This Row],[實際展示]]="","",功能_33[[#This Row],[實際展示]]+14)</f>
        <v>44466</v>
      </c>
      <c r="Z102" s="226" t="s">
        <v>205</v>
      </c>
      <c r="AA102" s="226"/>
      <c r="AB102" s="226"/>
      <c r="AC102" s="226"/>
      <c r="AD102" s="226"/>
      <c r="AE102" s="226"/>
      <c r="AF102" s="355"/>
      <c r="AG102" s="226" t="str">
        <f>IFERROR(IF(VLOOKUP(功能_33[[#This Row],[功能代號]],E:Q,11,FALSE)=0,"",VLOOKUP(功能_33[[#This Row],[功能代號]],E:Q,11,FALSE)),"")</f>
        <v>邵淑微</v>
      </c>
      <c r="AH102" s="226"/>
      <c r="AI102" s="226"/>
      <c r="AJ102" s="307"/>
      <c r="AK102" s="226"/>
      <c r="AN102" s="307" t="e">
        <f>VLOOKUP(功能_33[[#This Row],[功能代號]],工作表2!B:B,1,FALSE)</f>
        <v>#N/A</v>
      </c>
    </row>
    <row r="103" spans="1:40" ht="14.25" hidden="1" customHeight="1">
      <c r="A103" s="224">
        <v>206</v>
      </c>
      <c r="B103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3" s="307" t="s">
        <v>103</v>
      </c>
      <c r="D103" s="307"/>
      <c r="E103" s="308" t="s">
        <v>426</v>
      </c>
      <c r="F103" s="307" t="s">
        <v>427</v>
      </c>
      <c r="G103" s="307"/>
      <c r="H103" s="308" t="s">
        <v>203</v>
      </c>
      <c r="I103" s="308" t="s">
        <v>204</v>
      </c>
      <c r="J103" s="229" t="s">
        <v>326</v>
      </c>
      <c r="K103" s="226">
        <v>44452</v>
      </c>
      <c r="L103" s="226">
        <v>44452</v>
      </c>
      <c r="M103" s="226">
        <f>IFERROR(IF(VLOOKUP(功能_33[[#This Row],[功能代號]],討論項目!A:H,8,FALSE)=0,"",VLOOKUP(功能_33[[#This Row],[功能代號]],討論項目!A:H,8,FALSE)),"")</f>
        <v>44487</v>
      </c>
      <c r="N103" s="308" t="s">
        <v>8</v>
      </c>
      <c r="O103" s="308" t="s">
        <v>24</v>
      </c>
      <c r="T103" s="308"/>
      <c r="V103" s="308"/>
      <c r="W103" s="308"/>
      <c r="X103" s="307" t="str">
        <f>VLOOKUP(功能_33[[#This Row],[User]],SKL放款!A:G,7,FALSE)</f>
        <v>放款服務課</v>
      </c>
      <c r="Y103" s="228">
        <f>IF(功能_33[[#This Row],[實際展示]]="","",功能_33[[#This Row],[實際展示]]+14)</f>
        <v>44466</v>
      </c>
      <c r="Z103" s="226">
        <v>44488</v>
      </c>
      <c r="AA103" s="226">
        <v>44496</v>
      </c>
      <c r="AB103" s="226">
        <v>44496</v>
      </c>
      <c r="AC103" s="226">
        <v>44512</v>
      </c>
      <c r="AD103" s="226" t="s">
        <v>198</v>
      </c>
      <c r="AE103" s="226"/>
      <c r="AF103" s="355"/>
      <c r="AG103" s="226" t="str">
        <f>IFERROR(IF(VLOOKUP(功能_33[[#This Row],[功能代號]],E:Q,11,FALSE)=0,"",VLOOKUP(功能_33[[#This Row],[功能代號]],E:Q,11,FALSE)),"")</f>
        <v>邵淑微</v>
      </c>
      <c r="AH103" s="226"/>
      <c r="AI103" s="226"/>
      <c r="AJ103" s="307"/>
      <c r="AK103" s="226"/>
      <c r="AL103" s="308">
        <v>338</v>
      </c>
      <c r="AM103" s="307" t="s">
        <v>428</v>
      </c>
      <c r="AN103" s="307" t="str">
        <f>VLOOKUP(功能_33[[#This Row],[功能代號]],工作表2!B:B,1,FALSE)</f>
        <v>L3007</v>
      </c>
    </row>
    <row r="104" spans="1:40" ht="14.25" hidden="1" customHeight="1">
      <c r="A104" s="224">
        <v>208</v>
      </c>
      <c r="B104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4" s="307" t="s">
        <v>103</v>
      </c>
      <c r="D104" s="307"/>
      <c r="E104" s="308" t="s">
        <v>429</v>
      </c>
      <c r="F104" s="307" t="s">
        <v>430</v>
      </c>
      <c r="G104" s="307"/>
      <c r="H104" s="308" t="s">
        <v>203</v>
      </c>
      <c r="I104" s="308" t="s">
        <v>204</v>
      </c>
      <c r="J104" s="229" t="s">
        <v>326</v>
      </c>
      <c r="K104" s="226">
        <v>44452</v>
      </c>
      <c r="L104" s="226">
        <v>44452</v>
      </c>
      <c r="M104" s="226">
        <f>IFERROR(IF(VLOOKUP(功能_33[[#This Row],[功能代號]],討論項目!A:H,8,FALSE)=0,"",VLOOKUP(功能_33[[#This Row],[功能代號]],討論項目!A:H,8,FALSE)),"")</f>
        <v>44487</v>
      </c>
      <c r="N104" s="308" t="s">
        <v>8</v>
      </c>
      <c r="O104" s="308" t="s">
        <v>24</v>
      </c>
      <c r="T104" s="308"/>
      <c r="V104" s="308"/>
      <c r="W104" s="308"/>
      <c r="X104" s="307" t="str">
        <f>VLOOKUP(功能_33[[#This Row],[User]],SKL放款!A:G,7,FALSE)</f>
        <v>放款服務課</v>
      </c>
      <c r="Y104" s="228">
        <f>IF(功能_33[[#This Row],[實際展示]]="","",功能_33[[#This Row],[實際展示]]+14)</f>
        <v>44466</v>
      </c>
      <c r="Z104" s="226">
        <v>44488</v>
      </c>
      <c r="AA104" s="226">
        <v>44496</v>
      </c>
      <c r="AB104" s="226">
        <v>44496</v>
      </c>
      <c r="AC104" s="226">
        <v>44512</v>
      </c>
      <c r="AD104" s="226" t="s">
        <v>198</v>
      </c>
      <c r="AE104" s="226"/>
      <c r="AF104" s="355"/>
      <c r="AG104" s="226" t="str">
        <f>IFERROR(IF(VLOOKUP(功能_33[[#This Row],[功能代號]],E:Q,11,FALSE)=0,"",VLOOKUP(功能_33[[#This Row],[功能代號]],E:Q,11,FALSE)),"")</f>
        <v>邵淑微</v>
      </c>
      <c r="AH104" s="226"/>
      <c r="AI104" s="226"/>
      <c r="AJ104" s="307"/>
      <c r="AK104" s="226"/>
      <c r="AL104" s="308">
        <v>377</v>
      </c>
      <c r="AM104" s="307" t="s">
        <v>431</v>
      </c>
      <c r="AN104" s="307" t="str">
        <f>VLOOKUP(功能_33[[#This Row],[功能代號]],工作表2!B:B,1,FALSE)</f>
        <v>L3009</v>
      </c>
    </row>
    <row r="105" spans="1:40" ht="14.25" hidden="1" customHeight="1">
      <c r="A105" s="224">
        <v>203</v>
      </c>
      <c r="B105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307" t="s">
        <v>103</v>
      </c>
      <c r="D105" s="307"/>
      <c r="E105" s="308" t="s">
        <v>432</v>
      </c>
      <c r="F105" s="307" t="s">
        <v>433</v>
      </c>
      <c r="G105" s="307"/>
      <c r="H105" s="308" t="s">
        <v>203</v>
      </c>
      <c r="I105" s="308" t="s">
        <v>204</v>
      </c>
      <c r="J105" s="229" t="s">
        <v>326</v>
      </c>
      <c r="K105" s="226">
        <v>44452</v>
      </c>
      <c r="L105" s="226">
        <v>44452</v>
      </c>
      <c r="M105" s="226">
        <f>IFERROR(IF(VLOOKUP(功能_33[[#This Row],[功能代號]],討論項目!A:H,8,FALSE)=0,"",VLOOKUP(功能_33[[#This Row],[功能代號]],討論項目!A:H,8,FALSE)),"")</f>
        <v>44487</v>
      </c>
      <c r="N105" s="308" t="s">
        <v>8</v>
      </c>
      <c r="O105" s="308" t="s">
        <v>24</v>
      </c>
      <c r="T105" s="308"/>
      <c r="V105" s="308"/>
      <c r="W105" s="308"/>
      <c r="X105" s="307" t="str">
        <f>VLOOKUP(功能_33[[#This Row],[User]],SKL放款!A:G,7,FALSE)</f>
        <v>放款服務課</v>
      </c>
      <c r="Y105" s="228">
        <f>IF(功能_33[[#This Row],[實際展示]]="","",功能_33[[#This Row],[實際展示]]+14)</f>
        <v>44466</v>
      </c>
      <c r="Z105" s="226">
        <v>44488</v>
      </c>
      <c r="AA105" s="226">
        <v>44496</v>
      </c>
      <c r="AB105" s="226">
        <v>44496</v>
      </c>
      <c r="AC105" s="226">
        <v>44512</v>
      </c>
      <c r="AD105" s="226" t="s">
        <v>198</v>
      </c>
      <c r="AE105" s="226"/>
      <c r="AF105" s="355"/>
      <c r="AG105" s="226" t="str">
        <f>IFERROR(IF(VLOOKUP(功能_33[[#This Row],[功能代號]],E:Q,11,FALSE)=0,"",VLOOKUP(功能_33[[#This Row],[功能代號]],E:Q,11,FALSE)),"")</f>
        <v>邵淑微</v>
      </c>
      <c r="AH105" s="226"/>
      <c r="AI105" s="226"/>
      <c r="AJ105" s="307"/>
      <c r="AK105" s="226"/>
      <c r="AL105" s="308" t="s">
        <v>199</v>
      </c>
      <c r="AN105" s="307" t="str">
        <f>VLOOKUP(功能_33[[#This Row],[功能代號]],工作表2!B:B,1,FALSE)</f>
        <v>L3943</v>
      </c>
    </row>
    <row r="106" spans="1:40" ht="14.25" hidden="1" customHeight="1">
      <c r="A106" s="224">
        <v>190</v>
      </c>
      <c r="B106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6" s="307" t="s">
        <v>102</v>
      </c>
      <c r="D106" s="307"/>
      <c r="E106" s="308" t="s">
        <v>434</v>
      </c>
      <c r="F106" s="307" t="s">
        <v>435</v>
      </c>
      <c r="G106" s="307"/>
      <c r="H106" s="308" t="s">
        <v>203</v>
      </c>
      <c r="I106" s="308" t="s">
        <v>239</v>
      </c>
      <c r="J106" s="229" t="s">
        <v>209</v>
      </c>
      <c r="K106" s="226">
        <v>44453</v>
      </c>
      <c r="L106" s="226">
        <v>44453</v>
      </c>
      <c r="M106" s="226">
        <f>IFERROR(IF(VLOOKUP(功能_33[[#This Row],[功能代號]],討論項目!A:H,8,FALSE)=0,"",VLOOKUP(功能_33[[#This Row],[功能代號]],討論項目!A:H,8,FALSE)),"")</f>
        <v>44461</v>
      </c>
      <c r="N106" s="308" t="s">
        <v>12</v>
      </c>
      <c r="O106" s="308" t="s">
        <v>11</v>
      </c>
      <c r="T106" s="308"/>
      <c r="V106" s="308"/>
      <c r="W106" s="308"/>
      <c r="X106" s="307" t="str">
        <f>VLOOKUP(功能_33[[#This Row],[User]],SKL放款!A:G,7,FALSE)</f>
        <v>放款服務課</v>
      </c>
      <c r="Y106" s="228">
        <f>IF(功能_33[[#This Row],[實際展示]]="","",功能_33[[#This Row],[實際展示]]+14)</f>
        <v>44467</v>
      </c>
      <c r="Z106" s="226">
        <v>44470</v>
      </c>
      <c r="AA106" s="226">
        <f>IF(功能_33[[#This Row],[URS交二審]]=0,"",功能_33[[#This Row],[URS交二審]]+7)</f>
        <v>44477</v>
      </c>
      <c r="AB106" s="226">
        <f>IF(功能_33[[#This Row],[URS交二審]]=0,"",功能_33[[#This Row],[URS交二審]]+7)</f>
        <v>44477</v>
      </c>
      <c r="AC106" s="226"/>
      <c r="AD106" s="226" t="s">
        <v>198</v>
      </c>
      <c r="AE106" s="226"/>
      <c r="AF106" s="355"/>
      <c r="AG106" s="226" t="str">
        <f>IFERROR(IF(VLOOKUP(功能_33[[#This Row],[功能代號]],E:Q,11,FALSE)=0,"",VLOOKUP(功能_33[[#This Row],[功能代號]],E:Q,11,FALSE)),"")</f>
        <v>蔡珮瑜</v>
      </c>
      <c r="AH106" s="226"/>
      <c r="AI106" s="226"/>
      <c r="AJ106" s="307"/>
      <c r="AK106" s="226"/>
      <c r="AL106" s="308" t="s">
        <v>436</v>
      </c>
      <c r="AM106" s="307" t="s">
        <v>437</v>
      </c>
      <c r="AN106" s="307" t="str">
        <f>VLOOKUP(功能_33[[#This Row],[功能代號]],工作表2!B:B,1,FALSE)</f>
        <v>L2061</v>
      </c>
    </row>
    <row r="107" spans="1:40" ht="14.25" hidden="1" customHeight="1">
      <c r="A107" s="224">
        <v>191</v>
      </c>
      <c r="B1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307" t="s">
        <v>102</v>
      </c>
      <c r="D107" s="307"/>
      <c r="E107" s="308" t="s">
        <v>438</v>
      </c>
      <c r="F107" s="307" t="s">
        <v>439</v>
      </c>
      <c r="G107" s="307"/>
      <c r="H107" s="308" t="s">
        <v>203</v>
      </c>
      <c r="I107" s="308" t="s">
        <v>239</v>
      </c>
      <c r="J107" s="229" t="s">
        <v>209</v>
      </c>
      <c r="K107" s="226">
        <v>44453</v>
      </c>
      <c r="L107" s="226">
        <v>44453</v>
      </c>
      <c r="M107" s="226">
        <f>IFERROR(IF(VLOOKUP(功能_33[[#This Row],[功能代號]],討論項目!A:H,8,FALSE)=0,"",VLOOKUP(功能_33[[#This Row],[功能代號]],討論項目!A:H,8,FALSE)),"")</f>
        <v>44461</v>
      </c>
      <c r="N107" s="308" t="s">
        <v>12</v>
      </c>
      <c r="O107" s="308" t="s">
        <v>11</v>
      </c>
      <c r="T107" s="308"/>
      <c r="V107" s="308"/>
      <c r="W107" s="308"/>
      <c r="X107" s="307" t="str">
        <f>VLOOKUP(功能_33[[#This Row],[User]],SKL放款!A:G,7,FALSE)</f>
        <v>放款服務課</v>
      </c>
      <c r="Y107" s="228">
        <f>IF(功能_33[[#This Row],[實際展示]]="","",功能_33[[#This Row],[實際展示]]+14)</f>
        <v>44467</v>
      </c>
      <c r="Z107" s="226">
        <v>44470</v>
      </c>
      <c r="AA107" s="226">
        <f>IF(功能_33[[#This Row],[URS交二審]]=0,"",功能_33[[#This Row],[URS交二審]]+7)</f>
        <v>44477</v>
      </c>
      <c r="AB107" s="226">
        <f>IF(功能_33[[#This Row],[URS交二審]]=0,"",功能_33[[#This Row],[URS交二審]]+7)</f>
        <v>44477</v>
      </c>
      <c r="AC107" s="226"/>
      <c r="AD107" s="226" t="s">
        <v>198</v>
      </c>
      <c r="AE107" s="226"/>
      <c r="AF107" s="355"/>
      <c r="AG107" s="226" t="str">
        <f>IFERROR(IF(VLOOKUP(功能_33[[#This Row],[功能代號]],E:Q,11,FALSE)=0,"",VLOOKUP(功能_33[[#This Row],[功能代號]],E:Q,11,FALSE)),"")</f>
        <v>蔡珮瑜</v>
      </c>
      <c r="AH107" s="226"/>
      <c r="AI107" s="226"/>
      <c r="AJ107" s="307"/>
      <c r="AK107" s="226"/>
      <c r="AL107" s="308" t="s">
        <v>436</v>
      </c>
      <c r="AM107" s="307" t="s">
        <v>440</v>
      </c>
      <c r="AN107" s="307" t="str">
        <f>VLOOKUP(功能_33[[#This Row],[功能代號]],工作表2!B:B,1,FALSE)</f>
        <v>L2670</v>
      </c>
    </row>
    <row r="108" spans="1:40" ht="14.25" hidden="1" customHeight="1">
      <c r="A108" s="224">
        <v>192</v>
      </c>
      <c r="B108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307" t="s">
        <v>102</v>
      </c>
      <c r="D108" s="307"/>
      <c r="E108" s="308" t="s">
        <v>441</v>
      </c>
      <c r="F108" s="307" t="s">
        <v>442</v>
      </c>
      <c r="G108" s="307"/>
      <c r="H108" s="308" t="s">
        <v>203</v>
      </c>
      <c r="I108" s="308" t="s">
        <v>239</v>
      </c>
      <c r="J108" s="229" t="s">
        <v>209</v>
      </c>
      <c r="K108" s="226">
        <v>44453</v>
      </c>
      <c r="L108" s="226">
        <v>44453</v>
      </c>
      <c r="M108" s="226">
        <f>IFERROR(IF(VLOOKUP(功能_33[[#This Row],[功能代號]],討論項目!A:H,8,FALSE)=0,"",VLOOKUP(功能_33[[#This Row],[功能代號]],討論項目!A:H,8,FALSE)),"")</f>
        <v>44461</v>
      </c>
      <c r="N108" s="308" t="s">
        <v>12</v>
      </c>
      <c r="O108" s="308" t="s">
        <v>11</v>
      </c>
      <c r="T108" s="308"/>
      <c r="V108" s="308"/>
      <c r="W108" s="308"/>
      <c r="X108" s="307" t="str">
        <f>VLOOKUP(功能_33[[#This Row],[User]],SKL放款!A:G,7,FALSE)</f>
        <v>放款服務課</v>
      </c>
      <c r="Y108" s="228">
        <f>IF(功能_33[[#This Row],[實際展示]]="","",功能_33[[#This Row],[實際展示]]+14)</f>
        <v>44467</v>
      </c>
      <c r="Z108" s="226">
        <v>44470</v>
      </c>
      <c r="AA108" s="226">
        <f>IF(功能_33[[#This Row],[URS交二審]]=0,"",功能_33[[#This Row],[URS交二審]]+7)</f>
        <v>44477</v>
      </c>
      <c r="AB108" s="226">
        <f>IF(功能_33[[#This Row],[URS交二審]]=0,"",功能_33[[#This Row],[URS交二審]]+7)</f>
        <v>44477</v>
      </c>
      <c r="AC108" s="226"/>
      <c r="AD108" s="226" t="s">
        <v>198</v>
      </c>
      <c r="AE108" s="226"/>
      <c r="AF108" s="355"/>
      <c r="AG108" s="226" t="str">
        <f>IFERROR(IF(VLOOKUP(功能_33[[#This Row],[功能代號]],E:Q,11,FALSE)=0,"",VLOOKUP(功能_33[[#This Row],[功能代號]],E:Q,11,FALSE)),"")</f>
        <v>蔡珮瑜</v>
      </c>
      <c r="AH108" s="226"/>
      <c r="AI108" s="226"/>
      <c r="AJ108" s="307"/>
      <c r="AK108" s="226"/>
      <c r="AL108" s="308" t="s">
        <v>443</v>
      </c>
      <c r="AM108" s="307" t="s">
        <v>437</v>
      </c>
      <c r="AN108" s="307" t="str">
        <f>VLOOKUP(功能_33[[#This Row],[功能代號]],工作表2!B:B,1,FALSE)</f>
        <v>L2062</v>
      </c>
    </row>
    <row r="109" spans="1:40" ht="14.25" hidden="1" customHeight="1">
      <c r="A109" s="224">
        <v>111</v>
      </c>
      <c r="B109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307" t="s">
        <v>104</v>
      </c>
      <c r="D109" s="307" t="s">
        <v>444</v>
      </c>
      <c r="E109" s="308" t="s">
        <v>445</v>
      </c>
      <c r="F109" s="307" t="s">
        <v>446</v>
      </c>
      <c r="G109" s="307"/>
      <c r="H109" s="308" t="s">
        <v>203</v>
      </c>
      <c r="I109" s="308" t="s">
        <v>447</v>
      </c>
      <c r="J109" s="229"/>
      <c r="K109" s="226">
        <v>44455</v>
      </c>
      <c r="L109" s="226">
        <v>44455</v>
      </c>
      <c r="M109" s="226" t="str">
        <f>IFERROR(IF(VLOOKUP(功能_33[[#This Row],[功能代號]],討論項目!A:H,8,FALSE)=0,"",VLOOKUP(功能_33[[#This Row],[功能代號]],討論項目!A:H,8,FALSE)),"")</f>
        <v/>
      </c>
      <c r="N109" s="308" t="s">
        <v>10</v>
      </c>
      <c r="O109" s="308" t="s">
        <v>24</v>
      </c>
      <c r="T109" s="308"/>
      <c r="V109" s="308"/>
      <c r="W109" s="308"/>
      <c r="X109" s="307" t="str">
        <f>VLOOKUP(功能_33[[#This Row],[User]],SKL放款!A:G,7,FALSE)</f>
        <v>放款服務課</v>
      </c>
      <c r="Y109" s="228">
        <f>IF(功能_33[[#This Row],[實際展示]]="","",功能_33[[#This Row],[實際展示]]+14)</f>
        <v>44469</v>
      </c>
      <c r="Z109" s="226" t="s">
        <v>205</v>
      </c>
      <c r="AA109" s="226">
        <v>44524</v>
      </c>
      <c r="AB109" s="226"/>
      <c r="AC109" s="226"/>
      <c r="AD109" s="226"/>
      <c r="AE109" s="226"/>
      <c r="AF109" s="355"/>
      <c r="AG109" s="226" t="str">
        <f>IFERROR(IF(VLOOKUP(功能_33[[#This Row],[功能代號]],E:Q,11,FALSE)=0,"",VLOOKUP(功能_33[[#This Row],[功能代號]],E:Q,11,FALSE)),"")</f>
        <v>邵淑微</v>
      </c>
      <c r="AH109" s="226"/>
      <c r="AI109" s="226"/>
      <c r="AJ109" s="307"/>
      <c r="AK109" s="226"/>
      <c r="AN109" s="307" t="e">
        <f>VLOOKUP(功能_33[[#This Row],[功能代號]],工作表2!B:B,1,FALSE)</f>
        <v>#N/A</v>
      </c>
    </row>
    <row r="110" spans="1:40" ht="14.25" hidden="1" customHeight="1">
      <c r="A110" s="224">
        <v>112</v>
      </c>
      <c r="B1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307" t="s">
        <v>104</v>
      </c>
      <c r="D110" s="307" t="s">
        <v>2791</v>
      </c>
      <c r="E110" s="308" t="s">
        <v>448</v>
      </c>
      <c r="F110" s="307" t="s">
        <v>449</v>
      </c>
      <c r="G110" s="307"/>
      <c r="H110" s="308" t="s">
        <v>203</v>
      </c>
      <c r="I110" s="308" t="s">
        <v>447</v>
      </c>
      <c r="J110" s="229"/>
      <c r="K110" s="226">
        <v>44455</v>
      </c>
      <c r="L110" s="226">
        <v>44455</v>
      </c>
      <c r="M110" s="226" t="str">
        <f>IFERROR(IF(VLOOKUP(功能_33[[#This Row],[功能代號]],討論項目!A:H,8,FALSE)=0,"",VLOOKUP(功能_33[[#This Row],[功能代號]],討論項目!A:H,8,FALSE)),"")</f>
        <v/>
      </c>
      <c r="N110" s="308" t="s">
        <v>10</v>
      </c>
      <c r="O110" s="308" t="s">
        <v>24</v>
      </c>
      <c r="T110" s="308"/>
      <c r="V110" s="308"/>
      <c r="W110" s="308"/>
      <c r="X110" s="307" t="str">
        <f>VLOOKUP(功能_33[[#This Row],[User]],SKL放款!A:G,7,FALSE)</f>
        <v>放款服務課</v>
      </c>
      <c r="Y110" s="228">
        <f>IF(功能_33[[#This Row],[實際展示]]="","",功能_33[[#This Row],[實際展示]]+14)</f>
        <v>44469</v>
      </c>
      <c r="Z110" s="226" t="s">
        <v>205</v>
      </c>
      <c r="AA110" s="226">
        <v>44524</v>
      </c>
      <c r="AB110" s="226"/>
      <c r="AC110" s="226"/>
      <c r="AD110" s="226"/>
      <c r="AE110" s="226"/>
      <c r="AF110" s="355"/>
      <c r="AG110" s="226" t="str">
        <f>IFERROR(IF(VLOOKUP(功能_33[[#This Row],[功能代號]],E:Q,11,FALSE)=0,"",VLOOKUP(功能_33[[#This Row],[功能代號]],E:Q,11,FALSE)),"")</f>
        <v>邵淑微</v>
      </c>
      <c r="AH110" s="226"/>
      <c r="AI110" s="226"/>
      <c r="AJ110" s="307"/>
      <c r="AK110" s="228">
        <f>功能_33[[#This Row],[實際展示]]</f>
        <v>44455</v>
      </c>
      <c r="AN110" s="307" t="str">
        <f>VLOOKUP(功能_33[[#This Row],[功能代號]],工作表2!B:B,1,FALSE)</f>
        <v>L4610</v>
      </c>
    </row>
    <row r="111" spans="1:40" ht="14.25" hidden="1" customHeight="1">
      <c r="A111" s="224">
        <v>114</v>
      </c>
      <c r="B111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07" t="s">
        <v>104</v>
      </c>
      <c r="D111" s="307" t="s">
        <v>444</v>
      </c>
      <c r="E111" s="308" t="s">
        <v>450</v>
      </c>
      <c r="F111" s="307" t="s">
        <v>451</v>
      </c>
      <c r="G111" s="307"/>
      <c r="H111" s="308" t="s">
        <v>203</v>
      </c>
      <c r="I111" s="308" t="s">
        <v>447</v>
      </c>
      <c r="J111" s="229"/>
      <c r="K111" s="226">
        <v>44455</v>
      </c>
      <c r="L111" s="226">
        <v>44455</v>
      </c>
      <c r="M111" s="226" t="str">
        <f>IFERROR(IF(VLOOKUP(功能_33[[#This Row],[功能代號]],討論項目!A:H,8,FALSE)=0,"",VLOOKUP(功能_33[[#This Row],[功能代號]],討論項目!A:H,8,FALSE)),"")</f>
        <v/>
      </c>
      <c r="N111" s="308" t="s">
        <v>10</v>
      </c>
      <c r="O111" s="308" t="s">
        <v>24</v>
      </c>
      <c r="T111" s="308"/>
      <c r="V111" s="308"/>
      <c r="W111" s="308"/>
      <c r="X111" s="307" t="str">
        <f>VLOOKUP(功能_33[[#This Row],[User]],SKL放款!A:G,7,FALSE)</f>
        <v>放款服務課</v>
      </c>
      <c r="Y111" s="228">
        <f>IF(功能_33[[#This Row],[實際展示]]="","",功能_33[[#This Row],[實際展示]]+14)</f>
        <v>44469</v>
      </c>
      <c r="Z111" s="226" t="s">
        <v>213</v>
      </c>
      <c r="AA111" s="226">
        <v>44524</v>
      </c>
      <c r="AB111" s="226"/>
      <c r="AC111" s="226"/>
      <c r="AD111" s="226"/>
      <c r="AE111" s="226"/>
      <c r="AF111" s="355"/>
      <c r="AG111" s="226" t="str">
        <f>IFERROR(IF(VLOOKUP(功能_33[[#This Row],[功能代號]],E:Q,11,FALSE)=0,"",VLOOKUP(功能_33[[#This Row],[功能代號]],E:Q,11,FALSE)),"")</f>
        <v>邵淑微</v>
      </c>
      <c r="AH111" s="226"/>
      <c r="AI111" s="226"/>
      <c r="AJ111" s="307"/>
      <c r="AK111" s="226"/>
      <c r="AN111" s="307" t="str">
        <f>VLOOKUP(功能_33[[#This Row],[功能代號]],工作表2!B:B,1,FALSE)</f>
        <v>L4600</v>
      </c>
    </row>
    <row r="112" spans="1:40" ht="14.25" hidden="1" customHeight="1">
      <c r="A112" s="224">
        <v>115</v>
      </c>
      <c r="B112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307" t="s">
        <v>104</v>
      </c>
      <c r="D112" s="307" t="s">
        <v>444</v>
      </c>
      <c r="E112" s="308" t="s">
        <v>452</v>
      </c>
      <c r="F112" s="307" t="s">
        <v>453</v>
      </c>
      <c r="G112" s="307"/>
      <c r="H112" s="308" t="s">
        <v>203</v>
      </c>
      <c r="I112" s="308" t="s">
        <v>447</v>
      </c>
      <c r="J112" s="229"/>
      <c r="K112" s="226">
        <v>44455</v>
      </c>
      <c r="L112" s="226">
        <v>44455</v>
      </c>
      <c r="M112" s="226" t="str">
        <f>IFERROR(IF(VLOOKUP(功能_33[[#This Row],[功能代號]],討論項目!A:H,8,FALSE)=0,"",VLOOKUP(功能_33[[#This Row],[功能代號]],討論項目!A:H,8,FALSE)),"")</f>
        <v/>
      </c>
      <c r="N112" s="308" t="s">
        <v>10</v>
      </c>
      <c r="O112" s="308" t="s">
        <v>24</v>
      </c>
      <c r="T112" s="308"/>
      <c r="V112" s="308"/>
      <c r="W112" s="308"/>
      <c r="X112" s="307" t="str">
        <f>VLOOKUP(功能_33[[#This Row],[User]],SKL放款!A:G,7,FALSE)</f>
        <v>放款服務課</v>
      </c>
      <c r="Y112" s="228">
        <f>IF(功能_33[[#This Row],[實際展示]]="","",功能_33[[#This Row],[實際展示]]+14)</f>
        <v>44469</v>
      </c>
      <c r="Z112" s="226" t="s">
        <v>213</v>
      </c>
      <c r="AA112" s="226">
        <v>44524</v>
      </c>
      <c r="AB112" s="226"/>
      <c r="AC112" s="226"/>
      <c r="AD112" s="226"/>
      <c r="AE112" s="226"/>
      <c r="AF112" s="355"/>
      <c r="AG112" s="226" t="str">
        <f>IFERROR(IF(VLOOKUP(功能_33[[#This Row],[功能代號]],E:Q,11,FALSE)=0,"",VLOOKUP(功能_33[[#This Row],[功能代號]],E:Q,11,FALSE)),"")</f>
        <v>邵淑微</v>
      </c>
      <c r="AH112" s="226"/>
      <c r="AI112" s="226"/>
      <c r="AJ112" s="307"/>
      <c r="AK112" s="226"/>
      <c r="AN112" s="307" t="str">
        <f>VLOOKUP(功能_33[[#This Row],[功能代號]],工作表2!B:B,1,FALSE)</f>
        <v>L4601</v>
      </c>
    </row>
    <row r="113" spans="1:40" ht="14.25" hidden="1" customHeight="1">
      <c r="A113" s="224">
        <v>113</v>
      </c>
      <c r="B1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3" s="307" t="s">
        <v>104</v>
      </c>
      <c r="D113" s="307" t="s">
        <v>2791</v>
      </c>
      <c r="E113" s="308" t="s">
        <v>454</v>
      </c>
      <c r="F113" s="307" t="s">
        <v>455</v>
      </c>
      <c r="G113" s="307"/>
      <c r="H113" s="308" t="s">
        <v>203</v>
      </c>
      <c r="I113" s="308" t="s">
        <v>447</v>
      </c>
      <c r="J113" s="229"/>
      <c r="K113" s="226">
        <v>44455</v>
      </c>
      <c r="L113" s="226">
        <v>44455</v>
      </c>
      <c r="M113" s="226" t="str">
        <f>IFERROR(IF(VLOOKUP(功能_33[[#This Row],[功能代號]],討論項目!A:H,8,FALSE)=0,"",VLOOKUP(功能_33[[#This Row],[功能代號]],討論項目!A:H,8,FALSE)),"")</f>
        <v/>
      </c>
      <c r="N113" s="308" t="s">
        <v>10</v>
      </c>
      <c r="O113" s="308" t="s">
        <v>24</v>
      </c>
      <c r="T113" s="308"/>
      <c r="V113" s="308"/>
      <c r="W113" s="308"/>
      <c r="X113" s="307" t="str">
        <f>VLOOKUP(功能_33[[#This Row],[User]],SKL放款!A:G,7,FALSE)</f>
        <v>放款服務課</v>
      </c>
      <c r="Y113" s="228">
        <f>IF(功能_33[[#This Row],[實際展示]]="","",功能_33[[#This Row],[實際展示]]+14)</f>
        <v>44469</v>
      </c>
      <c r="Z113" s="226" t="s">
        <v>213</v>
      </c>
      <c r="AA113" s="226">
        <v>44524</v>
      </c>
      <c r="AB113" s="226"/>
      <c r="AC113" s="226"/>
      <c r="AD113" s="226"/>
      <c r="AE113" s="226"/>
      <c r="AF113" s="355"/>
      <c r="AG113" s="226" t="str">
        <f>IFERROR(IF(VLOOKUP(功能_33[[#This Row],[功能代號]],E:Q,11,FALSE)=0,"",VLOOKUP(功能_33[[#This Row],[功能代號]],E:Q,11,FALSE)),"")</f>
        <v>邵淑微</v>
      </c>
      <c r="AH113" s="226"/>
      <c r="AI113" s="226"/>
      <c r="AJ113" s="307"/>
      <c r="AK113" s="228">
        <f>功能_33[[#This Row],[實際展示]]</f>
        <v>44455</v>
      </c>
      <c r="AN113" s="307" t="str">
        <f>VLOOKUP(功能_33[[#This Row],[功能代號]],工作表2!B:B,1,FALSE)</f>
        <v>L4611</v>
      </c>
    </row>
    <row r="114" spans="1:40" ht="14.25" hidden="1" customHeight="1">
      <c r="A114" s="224">
        <v>116</v>
      </c>
      <c r="B114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07" t="s">
        <v>104</v>
      </c>
      <c r="D114" s="307" t="s">
        <v>444</v>
      </c>
      <c r="E114" s="308" t="s">
        <v>456</v>
      </c>
      <c r="F114" s="307" t="s">
        <v>457</v>
      </c>
      <c r="G114" s="307"/>
      <c r="H114" s="308" t="s">
        <v>203</v>
      </c>
      <c r="I114" s="308" t="s">
        <v>447</v>
      </c>
      <c r="J114" s="229"/>
      <c r="K114" s="226">
        <v>44455</v>
      </c>
      <c r="L114" s="226">
        <v>44455</v>
      </c>
      <c r="M114" s="226" t="str">
        <f>IFERROR(IF(VLOOKUP(功能_33[[#This Row],[功能代號]],討論項目!A:H,8,FALSE)=0,"",VLOOKUP(功能_33[[#This Row],[功能代號]],討論項目!A:H,8,FALSE)),"")</f>
        <v/>
      </c>
      <c r="N114" s="308" t="s">
        <v>10</v>
      </c>
      <c r="O114" s="308" t="s">
        <v>24</v>
      </c>
      <c r="T114" s="308"/>
      <c r="V114" s="308"/>
      <c r="W114" s="308"/>
      <c r="X114" s="307" t="str">
        <f>VLOOKUP(功能_33[[#This Row],[User]],SKL放款!A:G,7,FALSE)</f>
        <v>放款服務課</v>
      </c>
      <c r="Y114" s="228">
        <f>IF(功能_33[[#This Row],[實際展示]]="","",功能_33[[#This Row],[實際展示]]+14)</f>
        <v>44469</v>
      </c>
      <c r="Z114" s="226" t="s">
        <v>205</v>
      </c>
      <c r="AA114" s="226">
        <v>44524</v>
      </c>
      <c r="AB114" s="226"/>
      <c r="AC114" s="226"/>
      <c r="AD114" s="226"/>
      <c r="AE114" s="226"/>
      <c r="AF114" s="355"/>
      <c r="AG114" s="226" t="str">
        <f>IFERROR(IF(VLOOKUP(功能_33[[#This Row],[功能代號]],E:Q,11,FALSE)=0,"",VLOOKUP(功能_33[[#This Row],[功能代號]],E:Q,11,FALSE)),"")</f>
        <v>邵淑微</v>
      </c>
      <c r="AH114" s="226"/>
      <c r="AI114" s="226"/>
      <c r="AJ114" s="307"/>
      <c r="AK114" s="226"/>
      <c r="AN114" s="307" t="e">
        <f>VLOOKUP(功能_33[[#This Row],[功能代號]],工作表2!B:B,1,FALSE)</f>
        <v>#N/A</v>
      </c>
    </row>
    <row r="115" spans="1:40" ht="14.25" hidden="1" customHeight="1">
      <c r="A115" s="224">
        <v>117</v>
      </c>
      <c r="B115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307" t="s">
        <v>104</v>
      </c>
      <c r="D115" s="307" t="s">
        <v>444</v>
      </c>
      <c r="E115" s="308" t="s">
        <v>458</v>
      </c>
      <c r="F115" s="307" t="s">
        <v>459</v>
      </c>
      <c r="G115" s="307"/>
      <c r="H115" s="308" t="s">
        <v>203</v>
      </c>
      <c r="I115" s="308" t="s">
        <v>447</v>
      </c>
      <c r="J115" s="229"/>
      <c r="K115" s="226">
        <v>44455</v>
      </c>
      <c r="L115" s="226">
        <v>44455</v>
      </c>
      <c r="M115" s="226" t="str">
        <f>IFERROR(IF(VLOOKUP(功能_33[[#This Row],[功能代號]],討論項目!A:H,8,FALSE)=0,"",VLOOKUP(功能_33[[#This Row],[功能代號]],討論項目!A:H,8,FALSE)),"")</f>
        <v/>
      </c>
      <c r="N115" s="308" t="s">
        <v>10</v>
      </c>
      <c r="O115" s="308" t="s">
        <v>24</v>
      </c>
      <c r="T115" s="308"/>
      <c r="V115" s="308"/>
      <c r="W115" s="308"/>
      <c r="X115" s="307" t="str">
        <f>VLOOKUP(功能_33[[#This Row],[User]],SKL放款!A:G,7,FALSE)</f>
        <v>放款服務課</v>
      </c>
      <c r="Y115" s="228">
        <f>IF(功能_33[[#This Row],[實際展示]]="","",功能_33[[#This Row],[實際展示]]+14)</f>
        <v>44469</v>
      </c>
      <c r="Z115" s="226" t="s">
        <v>213</v>
      </c>
      <c r="AA115" s="226">
        <v>44524</v>
      </c>
      <c r="AB115" s="226"/>
      <c r="AC115" s="226"/>
      <c r="AD115" s="226"/>
      <c r="AE115" s="226"/>
      <c r="AF115" s="355"/>
      <c r="AG115" s="226" t="str">
        <f>IFERROR(IF(VLOOKUP(功能_33[[#This Row],[功能代號]],E:Q,11,FALSE)=0,"",VLOOKUP(功能_33[[#This Row],[功能代號]],E:Q,11,FALSE)),"")</f>
        <v>邵淑微</v>
      </c>
      <c r="AH115" s="226"/>
      <c r="AI115" s="226"/>
      <c r="AJ115" s="307"/>
      <c r="AK115" s="226"/>
      <c r="AN115" s="307" t="str">
        <f>VLOOKUP(功能_33[[#This Row],[功能代號]],工作表2!B:B,1,FALSE)</f>
        <v>L4603</v>
      </c>
    </row>
    <row r="116" spans="1:40" ht="14.25" hidden="1" customHeight="1">
      <c r="A116" s="224">
        <v>106</v>
      </c>
      <c r="B116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07" t="s">
        <v>104</v>
      </c>
      <c r="D116" s="307" t="s">
        <v>444</v>
      </c>
      <c r="E116" s="308" t="s">
        <v>460</v>
      </c>
      <c r="F116" s="307" t="s">
        <v>461</v>
      </c>
      <c r="G116" s="307"/>
      <c r="H116" s="308" t="s">
        <v>203</v>
      </c>
      <c r="I116" s="308" t="s">
        <v>447</v>
      </c>
      <c r="J116" s="229"/>
      <c r="K116" s="226">
        <v>44455</v>
      </c>
      <c r="L116" s="226">
        <v>44455</v>
      </c>
      <c r="M116" s="226" t="str">
        <f>IFERROR(IF(VLOOKUP(功能_33[[#This Row],[功能代號]],討論項目!A:H,8,FALSE)=0,"",VLOOKUP(功能_33[[#This Row],[功能代號]],討論項目!A:H,8,FALSE)),"")</f>
        <v/>
      </c>
      <c r="N116" s="308" t="s">
        <v>10</v>
      </c>
      <c r="O116" s="308" t="s">
        <v>24</v>
      </c>
      <c r="T116" s="308"/>
      <c r="V116" s="308"/>
      <c r="W116" s="308"/>
      <c r="X116" s="307" t="str">
        <f>VLOOKUP(功能_33[[#This Row],[User]],SKL放款!A:G,7,FALSE)</f>
        <v>放款服務課</v>
      </c>
      <c r="Y116" s="228">
        <f>IF(功能_33[[#This Row],[實際展示]]="","",功能_33[[#This Row],[實際展示]]+14)</f>
        <v>44469</v>
      </c>
      <c r="Z116" s="226" t="s">
        <v>213</v>
      </c>
      <c r="AA116" s="226">
        <v>44524</v>
      </c>
      <c r="AB116" s="226"/>
      <c r="AC116" s="226"/>
      <c r="AD116" s="226"/>
      <c r="AE116" s="226"/>
      <c r="AF116" s="355"/>
      <c r="AG116" s="226" t="str">
        <f>IFERROR(IF(VLOOKUP(功能_33[[#This Row],[功能代號]],E:Q,11,FALSE)=0,"",VLOOKUP(功能_33[[#This Row],[功能代號]],E:Q,11,FALSE)),"")</f>
        <v>邵淑微</v>
      </c>
      <c r="AH116" s="226"/>
      <c r="AI116" s="226"/>
      <c r="AJ116" s="307"/>
      <c r="AK116" s="228" t="s">
        <v>462</v>
      </c>
      <c r="AN116" s="307" t="str">
        <f>VLOOKUP(功能_33[[#This Row],[功能代號]],工作表2!B:B,1,FALSE)</f>
        <v>L4962</v>
      </c>
    </row>
    <row r="117" spans="1:40" ht="14.25" hidden="1" customHeight="1">
      <c r="A117" s="224">
        <v>107</v>
      </c>
      <c r="B117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07" t="s">
        <v>104</v>
      </c>
      <c r="D117" s="307" t="s">
        <v>444</v>
      </c>
      <c r="E117" s="308" t="s">
        <v>463</v>
      </c>
      <c r="F117" s="307" t="s">
        <v>464</v>
      </c>
      <c r="G117" s="307"/>
      <c r="H117" s="308" t="s">
        <v>203</v>
      </c>
      <c r="I117" s="308" t="s">
        <v>447</v>
      </c>
      <c r="J117" s="229"/>
      <c r="K117" s="226">
        <v>44455</v>
      </c>
      <c r="L117" s="226">
        <v>44455</v>
      </c>
      <c r="M117" s="226" t="str">
        <f>IFERROR(IF(VLOOKUP(功能_33[[#This Row],[功能代號]],討論項目!A:H,8,FALSE)=0,"",VLOOKUP(功能_33[[#This Row],[功能代號]],討論項目!A:H,8,FALSE)),"")</f>
        <v/>
      </c>
      <c r="N117" s="308" t="s">
        <v>10</v>
      </c>
      <c r="O117" s="308" t="s">
        <v>24</v>
      </c>
      <c r="T117" s="308"/>
      <c r="V117" s="308"/>
      <c r="W117" s="308"/>
      <c r="X117" s="307" t="str">
        <f>VLOOKUP(功能_33[[#This Row],[User]],SKL放款!A:G,7,FALSE)</f>
        <v>放款服務課</v>
      </c>
      <c r="Y117" s="228">
        <f>IF(功能_33[[#This Row],[實際展示]]="","",功能_33[[#This Row],[實際展示]]+14)</f>
        <v>44469</v>
      </c>
      <c r="Z117" s="226" t="s">
        <v>205</v>
      </c>
      <c r="AA117" s="226">
        <v>44524</v>
      </c>
      <c r="AB117" s="226"/>
      <c r="AC117" s="226"/>
      <c r="AD117" s="226"/>
      <c r="AE117" s="226"/>
      <c r="AF117" s="355"/>
      <c r="AG117" s="226" t="str">
        <f>IFERROR(IF(VLOOKUP(功能_33[[#This Row],[功能代號]],E:Q,11,FALSE)=0,"",VLOOKUP(功能_33[[#This Row],[功能代號]],E:Q,11,FALSE)),"")</f>
        <v>邵淑微</v>
      </c>
      <c r="AH117" s="226"/>
      <c r="AI117" s="226"/>
      <c r="AJ117" s="307"/>
      <c r="AK117" s="226"/>
      <c r="AN117" s="307" t="e">
        <f>VLOOKUP(功能_33[[#This Row],[功能代號]],工作表2!B:B,1,FALSE)</f>
        <v>#N/A</v>
      </c>
    </row>
    <row r="118" spans="1:40" ht="14.25" hidden="1" customHeight="1">
      <c r="A118" s="224">
        <v>108</v>
      </c>
      <c r="B118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07" t="s">
        <v>104</v>
      </c>
      <c r="D118" s="307" t="s">
        <v>444</v>
      </c>
      <c r="E118" s="308" t="s">
        <v>465</v>
      </c>
      <c r="F118" s="307" t="s">
        <v>466</v>
      </c>
      <c r="G118" s="307"/>
      <c r="H118" s="308" t="s">
        <v>203</v>
      </c>
      <c r="I118" s="308" t="s">
        <v>447</v>
      </c>
      <c r="J118" s="229"/>
      <c r="K118" s="226">
        <v>44455</v>
      </c>
      <c r="L118" s="226">
        <v>44455</v>
      </c>
      <c r="M118" s="226" t="str">
        <f>IFERROR(IF(VLOOKUP(功能_33[[#This Row],[功能代號]],討論項目!A:H,8,FALSE)=0,"",VLOOKUP(功能_33[[#This Row],[功能代號]],討論項目!A:H,8,FALSE)),"")</f>
        <v/>
      </c>
      <c r="N118" s="308" t="s">
        <v>10</v>
      </c>
      <c r="O118" s="308" t="s">
        <v>24</v>
      </c>
      <c r="T118" s="308"/>
      <c r="V118" s="308"/>
      <c r="W118" s="308"/>
      <c r="X118" s="307" t="str">
        <f>VLOOKUP(功能_33[[#This Row],[User]],SKL放款!A:G,7,FALSE)</f>
        <v>放款服務課</v>
      </c>
      <c r="Y118" s="228">
        <f>IF(功能_33[[#This Row],[實際展示]]="","",功能_33[[#This Row],[實際展示]]+14)</f>
        <v>44469</v>
      </c>
      <c r="Z118" s="226" t="s">
        <v>205</v>
      </c>
      <c r="AA118" s="226">
        <v>44524</v>
      </c>
      <c r="AB118" s="226"/>
      <c r="AC118" s="226"/>
      <c r="AD118" s="226"/>
      <c r="AE118" s="226"/>
      <c r="AF118" s="355"/>
      <c r="AG118" s="226" t="str">
        <f>IFERROR(IF(VLOOKUP(功能_33[[#This Row],[功能代號]],E:Q,11,FALSE)=0,"",VLOOKUP(功能_33[[#This Row],[功能代號]],E:Q,11,FALSE)),"")</f>
        <v>邵淑微</v>
      </c>
      <c r="AH118" s="226"/>
      <c r="AI118" s="226"/>
      <c r="AJ118" s="307"/>
      <c r="AK118" s="228" t="s">
        <v>462</v>
      </c>
      <c r="AN118" s="307" t="e">
        <f>VLOOKUP(功能_33[[#This Row],[功能代號]],工作表2!B:B,1,FALSE)</f>
        <v>#N/A</v>
      </c>
    </row>
    <row r="119" spans="1:40" ht="14.25" hidden="1" customHeight="1">
      <c r="A119" s="224">
        <v>109</v>
      </c>
      <c r="B1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9" s="307" t="s">
        <v>104</v>
      </c>
      <c r="D119" s="307" t="s">
        <v>2791</v>
      </c>
      <c r="E119" s="308" t="s">
        <v>467</v>
      </c>
      <c r="F119" s="307" t="s">
        <v>468</v>
      </c>
      <c r="G119" s="307"/>
      <c r="H119" s="308" t="s">
        <v>203</v>
      </c>
      <c r="I119" s="308" t="s">
        <v>447</v>
      </c>
      <c r="J119" s="229"/>
      <c r="K119" s="226">
        <v>44455</v>
      </c>
      <c r="L119" s="226">
        <v>44455</v>
      </c>
      <c r="M119" s="226" t="str">
        <f>IFERROR(IF(VLOOKUP(功能_33[[#This Row],[功能代號]],討論項目!A:H,8,FALSE)=0,"",VLOOKUP(功能_33[[#This Row],[功能代號]],討論項目!A:H,8,FALSE)),"")</f>
        <v/>
      </c>
      <c r="N119" s="308" t="s">
        <v>10</v>
      </c>
      <c r="O119" s="308" t="s">
        <v>24</v>
      </c>
      <c r="T119" s="308"/>
      <c r="V119" s="308"/>
      <c r="W119" s="308"/>
      <c r="X119" s="307" t="str">
        <f>VLOOKUP(功能_33[[#This Row],[User]],SKL放款!A:G,7,FALSE)</f>
        <v>放款服務課</v>
      </c>
      <c r="Y119" s="228">
        <f>IF(功能_33[[#This Row],[實際展示]]="","",功能_33[[#This Row],[實際展示]]+14)</f>
        <v>44469</v>
      </c>
      <c r="Z119" s="226" t="s">
        <v>205</v>
      </c>
      <c r="AA119" s="226">
        <v>44524</v>
      </c>
      <c r="AB119" s="226"/>
      <c r="AC119" s="226"/>
      <c r="AD119" s="226"/>
      <c r="AE119" s="226"/>
      <c r="AF119" s="355"/>
      <c r="AG119" s="226" t="str">
        <f>IFERROR(IF(VLOOKUP(功能_33[[#This Row],[功能代號]],E:Q,11,FALSE)=0,"",VLOOKUP(功能_33[[#This Row],[功能代號]],E:Q,11,FALSE)),"")</f>
        <v>邵淑微</v>
      </c>
      <c r="AH119" s="226"/>
      <c r="AI119" s="226"/>
      <c r="AJ119" s="307"/>
      <c r="AK119" s="226"/>
      <c r="AN119" s="307" t="e">
        <f>VLOOKUP(功能_33[[#This Row],[功能代號]],工作表2!B:B,1,FALSE)</f>
        <v>#N/A</v>
      </c>
    </row>
    <row r="120" spans="1:40" ht="14.25" hidden="1" customHeight="1">
      <c r="A120" s="224">
        <v>110</v>
      </c>
      <c r="B120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307" t="s">
        <v>104</v>
      </c>
      <c r="D120" s="307" t="s">
        <v>444</v>
      </c>
      <c r="E120" s="308" t="s">
        <v>469</v>
      </c>
      <c r="F120" s="307" t="s">
        <v>470</v>
      </c>
      <c r="G120" s="307"/>
      <c r="H120" s="308" t="s">
        <v>203</v>
      </c>
      <c r="I120" s="308" t="s">
        <v>447</v>
      </c>
      <c r="J120" s="229"/>
      <c r="K120" s="226">
        <v>44455</v>
      </c>
      <c r="L120" s="226">
        <v>44455</v>
      </c>
      <c r="M120" s="226" t="str">
        <f>IFERROR(IF(VLOOKUP(功能_33[[#This Row],[功能代號]],討論項目!A:H,8,FALSE)=0,"",VLOOKUP(功能_33[[#This Row],[功能代號]],討論項目!A:H,8,FALSE)),"")</f>
        <v/>
      </c>
      <c r="N120" s="308" t="s">
        <v>10</v>
      </c>
      <c r="O120" s="308" t="s">
        <v>24</v>
      </c>
      <c r="T120" s="308"/>
      <c r="V120" s="308"/>
      <c r="W120" s="308"/>
      <c r="X120" s="307" t="str">
        <f>VLOOKUP(功能_33[[#This Row],[User]],SKL放款!A:G,7,FALSE)</f>
        <v>放款服務課</v>
      </c>
      <c r="Y120" s="228">
        <f>IF(功能_33[[#This Row],[實際展示]]="","",功能_33[[#This Row],[實際展示]]+14)</f>
        <v>44469</v>
      </c>
      <c r="Z120" s="226" t="s">
        <v>213</v>
      </c>
      <c r="AA120" s="226">
        <v>44524</v>
      </c>
      <c r="AB120" s="226"/>
      <c r="AC120" s="226"/>
      <c r="AD120" s="226"/>
      <c r="AE120" s="226"/>
      <c r="AF120" s="355"/>
      <c r="AG120" s="226" t="str">
        <f>IFERROR(IF(VLOOKUP(功能_33[[#This Row],[功能代號]],E:Q,11,FALSE)=0,"",VLOOKUP(功能_33[[#This Row],[功能代號]],E:Q,11,FALSE)),"")</f>
        <v>邵淑微</v>
      </c>
      <c r="AH120" s="226"/>
      <c r="AI120" s="226"/>
      <c r="AJ120" s="307"/>
      <c r="AK120" s="228" t="s">
        <v>462</v>
      </c>
      <c r="AN120" s="307" t="str">
        <f>VLOOKUP(功能_33[[#This Row],[功能代號]],工作表2!B:B,1,FALSE)</f>
        <v>L4965</v>
      </c>
    </row>
    <row r="121" spans="1:40" ht="14.25" hidden="1" customHeight="1">
      <c r="A121" s="224">
        <v>93</v>
      </c>
      <c r="B121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307" t="s">
        <v>104</v>
      </c>
      <c r="D121" s="307" t="s">
        <v>2792</v>
      </c>
      <c r="E121" s="308" t="s">
        <v>471</v>
      </c>
      <c r="F121" s="307" t="s">
        <v>472</v>
      </c>
      <c r="G121" s="307"/>
      <c r="H121" s="308" t="s">
        <v>203</v>
      </c>
      <c r="I121" s="308" t="s">
        <v>447</v>
      </c>
      <c r="J121" s="229"/>
      <c r="K121" s="226">
        <v>44456</v>
      </c>
      <c r="L121" s="226">
        <v>44456</v>
      </c>
      <c r="M121" s="226" t="str">
        <f>IFERROR(IF(VLOOKUP(功能_33[[#This Row],[功能代號]],討論項目!A:H,8,FALSE)=0,"",VLOOKUP(功能_33[[#This Row],[功能代號]],討論項目!A:H,8,FALSE)),"")</f>
        <v/>
      </c>
      <c r="N121" s="308" t="s">
        <v>8</v>
      </c>
      <c r="O121" s="308" t="s">
        <v>22</v>
      </c>
      <c r="P121" s="277" t="s">
        <v>473</v>
      </c>
      <c r="T121" s="308"/>
      <c r="V121" s="308"/>
      <c r="W121" s="308"/>
      <c r="X121" s="307" t="str">
        <f>VLOOKUP(功能_33[[#This Row],[User]],SKL放款!A:G,7,FALSE)</f>
        <v>放款服務課</v>
      </c>
      <c r="Y121" s="228">
        <f>IF(功能_33[[#This Row],[實際展示]]="","",功能_33[[#This Row],[實際展示]]+14)</f>
        <v>44470</v>
      </c>
      <c r="Z121" s="226" t="s">
        <v>213</v>
      </c>
      <c r="AA121" s="226">
        <v>44523</v>
      </c>
      <c r="AB121" s="226"/>
      <c r="AC121" s="226"/>
      <c r="AD121" s="226"/>
      <c r="AE121" s="226"/>
      <c r="AF121" s="355"/>
      <c r="AG121" s="226" t="str">
        <f>IFERROR(IF(VLOOKUP(功能_33[[#This Row],[功能代號]],E:Q,11,FALSE)=0,"",VLOOKUP(功能_33[[#This Row],[功能代號]],E:Q,11,FALSE)),"")</f>
        <v>許慧玉</v>
      </c>
      <c r="AH121" s="226"/>
      <c r="AI121" s="226"/>
      <c r="AJ121" s="307"/>
      <c r="AK121" s="226"/>
      <c r="AN121" s="307" t="str">
        <f>VLOOKUP(功能_33[[#This Row],[功能代號]],工作表2!B:B,1,FALSE)</f>
        <v>L4450</v>
      </c>
    </row>
    <row r="122" spans="1:40" ht="14.25" hidden="1" customHeight="1">
      <c r="A122" s="224">
        <v>94</v>
      </c>
      <c r="B122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307" t="s">
        <v>104</v>
      </c>
      <c r="D122" s="307" t="s">
        <v>2792</v>
      </c>
      <c r="E122" s="308" t="s">
        <v>474</v>
      </c>
      <c r="F122" s="307" t="s">
        <v>475</v>
      </c>
      <c r="G122" s="307"/>
      <c r="H122" s="308" t="s">
        <v>203</v>
      </c>
      <c r="I122" s="308" t="s">
        <v>447</v>
      </c>
      <c r="J122" s="229"/>
      <c r="K122" s="226">
        <v>44456</v>
      </c>
      <c r="L122" s="226">
        <v>44456</v>
      </c>
      <c r="M122" s="226" t="str">
        <f>IFERROR(IF(VLOOKUP(功能_33[[#This Row],[功能代號]],討論項目!A:H,8,FALSE)=0,"",VLOOKUP(功能_33[[#This Row],[功能代號]],討論項目!A:H,8,FALSE)),"")</f>
        <v/>
      </c>
      <c r="N122" s="308" t="s">
        <v>8</v>
      </c>
      <c r="O122" s="308" t="s">
        <v>22</v>
      </c>
      <c r="P122" s="277" t="s">
        <v>473</v>
      </c>
      <c r="T122" s="308"/>
      <c r="V122" s="308"/>
      <c r="W122" s="308"/>
      <c r="X122" s="307" t="str">
        <f>VLOOKUP(功能_33[[#This Row],[User]],SKL放款!A:G,7,FALSE)</f>
        <v>放款服務課</v>
      </c>
      <c r="Y122" s="228">
        <f>IF(功能_33[[#This Row],[實際展示]]="","",功能_33[[#This Row],[實際展示]]+14)</f>
        <v>44470</v>
      </c>
      <c r="Z122" s="226" t="s">
        <v>213</v>
      </c>
      <c r="AA122" s="226">
        <v>44523</v>
      </c>
      <c r="AB122" s="226"/>
      <c r="AC122" s="226"/>
      <c r="AD122" s="226"/>
      <c r="AE122" s="226"/>
      <c r="AF122" s="355"/>
      <c r="AG122" s="226" t="str">
        <f>IFERROR(IF(VLOOKUP(功能_33[[#This Row],[功能代號]],E:Q,11,FALSE)=0,"",VLOOKUP(功能_33[[#This Row],[功能代號]],E:Q,11,FALSE)),"")</f>
        <v>許慧玉</v>
      </c>
      <c r="AH122" s="226"/>
      <c r="AI122" s="226"/>
      <c r="AJ122" s="307"/>
      <c r="AK122" s="228" t="s">
        <v>476</v>
      </c>
      <c r="AN122" s="307" t="str">
        <f>VLOOKUP(功能_33[[#This Row],[功能代號]],工作表2!B:B,1,FALSE)</f>
        <v>L4943</v>
      </c>
    </row>
    <row r="123" spans="1:40" ht="14.25" hidden="1" customHeight="1">
      <c r="A123" s="224">
        <v>95</v>
      </c>
      <c r="B1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3" s="307" t="s">
        <v>104</v>
      </c>
      <c r="D123" s="307" t="s">
        <v>2792</v>
      </c>
      <c r="E123" s="308" t="s">
        <v>477</v>
      </c>
      <c r="F123" s="307" t="s">
        <v>478</v>
      </c>
      <c r="G123" s="307"/>
      <c r="H123" s="308" t="s">
        <v>203</v>
      </c>
      <c r="I123" s="308" t="s">
        <v>447</v>
      </c>
      <c r="J123" s="229"/>
      <c r="K123" s="226">
        <v>44456</v>
      </c>
      <c r="L123" s="226">
        <v>44456</v>
      </c>
      <c r="M123" s="226" t="str">
        <f>IFERROR(IF(VLOOKUP(功能_33[[#This Row],[功能代號]],討論項目!A:H,8,FALSE)=0,"",VLOOKUP(功能_33[[#This Row],[功能代號]],討論項目!A:H,8,FALSE)),"")</f>
        <v/>
      </c>
      <c r="N123" s="308" t="s">
        <v>8</v>
      </c>
      <c r="O123" s="308" t="s">
        <v>22</v>
      </c>
      <c r="P123" s="277" t="s">
        <v>473</v>
      </c>
      <c r="T123" s="308"/>
      <c r="V123" s="308"/>
      <c r="W123" s="308"/>
      <c r="X123" s="307" t="str">
        <f>VLOOKUP(功能_33[[#This Row],[User]],SKL放款!A:G,7,FALSE)</f>
        <v>放款服務課</v>
      </c>
      <c r="Y123" s="228">
        <f>IF(功能_33[[#This Row],[實際展示]]="","",功能_33[[#This Row],[實際展示]]+14)</f>
        <v>44470</v>
      </c>
      <c r="Z123" s="226" t="s">
        <v>213</v>
      </c>
      <c r="AA123" s="226">
        <v>44523</v>
      </c>
      <c r="AB123" s="226"/>
      <c r="AC123" s="226"/>
      <c r="AD123" s="226"/>
      <c r="AE123" s="226"/>
      <c r="AF123" s="355"/>
      <c r="AG123" s="226" t="str">
        <f>IFERROR(IF(VLOOKUP(功能_33[[#This Row],[功能代號]],E:Q,11,FALSE)=0,"",VLOOKUP(功能_33[[#This Row],[功能代號]],E:Q,11,FALSE)),"")</f>
        <v>許慧玉</v>
      </c>
      <c r="AH123" s="226"/>
      <c r="AI123" s="226"/>
      <c r="AJ123" s="307"/>
      <c r="AK123" s="226"/>
      <c r="AN123" s="307" t="str">
        <f>VLOOKUP(功能_33[[#This Row],[功能代號]],工作表2!B:B,1,FALSE)</f>
        <v>L4451</v>
      </c>
    </row>
    <row r="124" spans="1:40" ht="14.25" hidden="1" customHeight="1">
      <c r="A124" s="224">
        <v>96</v>
      </c>
      <c r="B124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307" t="s">
        <v>104</v>
      </c>
      <c r="D124" s="307" t="s">
        <v>2792</v>
      </c>
      <c r="E124" s="308" t="s">
        <v>479</v>
      </c>
      <c r="F124" s="307" t="s">
        <v>480</v>
      </c>
      <c r="G124" s="307"/>
      <c r="H124" s="308" t="s">
        <v>203</v>
      </c>
      <c r="I124" s="308" t="s">
        <v>447</v>
      </c>
      <c r="J124" s="229"/>
      <c r="K124" s="226">
        <v>44456</v>
      </c>
      <c r="L124" s="226">
        <v>44456</v>
      </c>
      <c r="M124" s="226" t="str">
        <f>IFERROR(IF(VLOOKUP(功能_33[[#This Row],[功能代號]],討論項目!A:H,8,FALSE)=0,"",VLOOKUP(功能_33[[#This Row],[功能代號]],討論項目!A:H,8,FALSE)),"")</f>
        <v/>
      </c>
      <c r="N124" s="308" t="s">
        <v>8</v>
      </c>
      <c r="O124" s="308" t="s">
        <v>22</v>
      </c>
      <c r="P124" s="277" t="s">
        <v>473</v>
      </c>
      <c r="T124" s="308"/>
      <c r="V124" s="308"/>
      <c r="W124" s="308"/>
      <c r="X124" s="307" t="str">
        <f>VLOOKUP(功能_33[[#This Row],[User]],SKL放款!A:G,7,FALSE)</f>
        <v>放款服務課</v>
      </c>
      <c r="Y124" s="228">
        <f>IF(功能_33[[#This Row],[實際展示]]="","",功能_33[[#This Row],[實際展示]]+14)</f>
        <v>44470</v>
      </c>
      <c r="Z124" s="226" t="s">
        <v>213</v>
      </c>
      <c r="AA124" s="226">
        <v>44523</v>
      </c>
      <c r="AB124" s="226"/>
      <c r="AC124" s="226"/>
      <c r="AD124" s="226"/>
      <c r="AE124" s="226"/>
      <c r="AF124" s="355"/>
      <c r="AG124" s="226" t="str">
        <f>IFERROR(IF(VLOOKUP(功能_33[[#This Row],[功能代號]],E:Q,11,FALSE)=0,"",VLOOKUP(功能_33[[#This Row],[功能代號]],E:Q,11,FALSE)),"")</f>
        <v>許慧玉</v>
      </c>
      <c r="AH124" s="226"/>
      <c r="AI124" s="226"/>
      <c r="AJ124" s="307"/>
      <c r="AK124" s="226"/>
      <c r="AN124" s="307" t="str">
        <f>VLOOKUP(功能_33[[#This Row],[功能代號]],工作表2!B:B,1,FALSE)</f>
        <v>L4452</v>
      </c>
    </row>
    <row r="125" spans="1:40" ht="14.25" hidden="1" customHeight="1">
      <c r="A125" s="224">
        <v>97</v>
      </c>
      <c r="B12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5" s="307" t="s">
        <v>104</v>
      </c>
      <c r="D125" s="307" t="s">
        <v>2792</v>
      </c>
      <c r="E125" s="308" t="s">
        <v>481</v>
      </c>
      <c r="F125" s="307" t="s">
        <v>482</v>
      </c>
      <c r="G125" s="307"/>
      <c r="H125" s="308" t="s">
        <v>203</v>
      </c>
      <c r="I125" s="308" t="s">
        <v>447</v>
      </c>
      <c r="J125" s="229"/>
      <c r="K125" s="226">
        <v>44456</v>
      </c>
      <c r="L125" s="226">
        <v>44456</v>
      </c>
      <c r="M125" s="226" t="str">
        <f>IFERROR(IF(VLOOKUP(功能_33[[#This Row],[功能代號]],討論項目!A:H,8,FALSE)=0,"",VLOOKUP(功能_33[[#This Row],[功能代號]],討論項目!A:H,8,FALSE)),"")</f>
        <v/>
      </c>
      <c r="N125" s="308" t="s">
        <v>8</v>
      </c>
      <c r="O125" s="308" t="s">
        <v>22</v>
      </c>
      <c r="P125" s="277" t="s">
        <v>473</v>
      </c>
      <c r="T125" s="308"/>
      <c r="V125" s="308"/>
      <c r="W125" s="308"/>
      <c r="X125" s="307" t="str">
        <f>VLOOKUP(功能_33[[#This Row],[User]],SKL放款!A:G,7,FALSE)</f>
        <v>放款服務課</v>
      </c>
      <c r="Y125" s="228">
        <f>IF(功能_33[[#This Row],[實際展示]]="","",功能_33[[#This Row],[實際展示]]+14)</f>
        <v>44470</v>
      </c>
      <c r="Z125" s="226" t="s">
        <v>213</v>
      </c>
      <c r="AA125" s="226">
        <v>44523</v>
      </c>
      <c r="AB125" s="226"/>
      <c r="AC125" s="226"/>
      <c r="AD125" s="226"/>
      <c r="AE125" s="226"/>
      <c r="AF125" s="355"/>
      <c r="AG125" s="226" t="str">
        <f>IFERROR(IF(VLOOKUP(功能_33[[#This Row],[功能代號]],E:Q,11,FALSE)=0,"",VLOOKUP(功能_33[[#This Row],[功能代號]],E:Q,11,FALSE)),"")</f>
        <v>許慧玉</v>
      </c>
      <c r="AH125" s="226"/>
      <c r="AI125" s="226"/>
      <c r="AJ125" s="307"/>
      <c r="AK125" s="226"/>
      <c r="AN125" s="307" t="str">
        <f>VLOOKUP(功能_33[[#This Row],[功能代號]],工作表2!B:B,1,FALSE)</f>
        <v>L4453</v>
      </c>
    </row>
    <row r="126" spans="1:40" ht="14.25" hidden="1" customHeight="1">
      <c r="A126" s="224">
        <v>273</v>
      </c>
      <c r="B126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6" s="307" t="s">
        <v>105</v>
      </c>
      <c r="D126" s="307" t="s">
        <v>483</v>
      </c>
      <c r="E126" s="308" t="s">
        <v>484</v>
      </c>
      <c r="F126" s="307" t="s">
        <v>485</v>
      </c>
      <c r="G126" s="307"/>
      <c r="H126" s="308" t="s">
        <v>486</v>
      </c>
      <c r="I126" s="308" t="s">
        <v>486</v>
      </c>
      <c r="J126" s="229" t="s">
        <v>487</v>
      </c>
      <c r="K126" s="226">
        <v>44462</v>
      </c>
      <c r="L126" s="226">
        <v>44462</v>
      </c>
      <c r="M126" s="226" t="str">
        <f>IFERROR(IF(VLOOKUP(功能_33[[#This Row],[功能代號]],討論項目!A:H,8,FALSE)=0,"",VLOOKUP(功能_33[[#This Row],[功能代號]],討論項目!A:H,8,FALSE)),"")</f>
        <v/>
      </c>
      <c r="N126" s="308" t="s">
        <v>7</v>
      </c>
      <c r="O126" s="308" t="s">
        <v>11</v>
      </c>
      <c r="P126" s="277" t="s">
        <v>25</v>
      </c>
      <c r="T126" s="308"/>
      <c r="V126" s="308"/>
      <c r="W126" s="308"/>
      <c r="X126" s="307" t="str">
        <f>VLOOKUP(功能_33[[#This Row],[User]],SKL放款!A:G,7,FALSE)</f>
        <v>放款服務課</v>
      </c>
      <c r="Y126" s="228">
        <f>IF(功能_33[[#This Row],[實際展示]]="","",功能_33[[#This Row],[實際展示]]+14)</f>
        <v>44476</v>
      </c>
      <c r="Z126" s="226">
        <v>44477</v>
      </c>
      <c r="AA126" s="226">
        <f>IF(功能_33[[#This Row],[URS交二審]]=0,"",功能_33[[#This Row],[URS交二審]]+7)</f>
        <v>44484</v>
      </c>
      <c r="AB126" s="226">
        <f>IF(功能_33[[#This Row],[URS交二審]]=0,"",功能_33[[#This Row],[URS交二審]]+7)</f>
        <v>44484</v>
      </c>
      <c r="AC126" s="226">
        <v>44489</v>
      </c>
      <c r="AD126" s="226"/>
      <c r="AG126" s="226" t="str">
        <f>IFERROR(IF(VLOOKUP(功能_33[[#This Row],[功能代號]],E:Q,11,FALSE)=0,"",VLOOKUP(功能_33[[#This Row],[功能代號]],E:Q,11,FALSE)),"")</f>
        <v>蔡珮瑜</v>
      </c>
      <c r="AH126" s="226"/>
      <c r="AI126" s="226"/>
      <c r="AJ126" s="307"/>
      <c r="AK126" s="226"/>
      <c r="AN126" s="307" t="e">
        <f>VLOOKUP(功能_33[[#This Row],[功能代號]],工作表2!B:B,1,FALSE)</f>
        <v>#N/A</v>
      </c>
    </row>
    <row r="127" spans="1:40" ht="14.25" hidden="1" customHeight="1">
      <c r="A127" s="224">
        <v>274</v>
      </c>
      <c r="B127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307" t="s">
        <v>105</v>
      </c>
      <c r="D127" s="307" t="s">
        <v>483</v>
      </c>
      <c r="E127" s="308" t="s">
        <v>488</v>
      </c>
      <c r="F127" s="307" t="s">
        <v>489</v>
      </c>
      <c r="G127" s="307"/>
      <c r="H127" s="308" t="s">
        <v>486</v>
      </c>
      <c r="I127" s="308" t="s">
        <v>486</v>
      </c>
      <c r="J127" s="229" t="s">
        <v>487</v>
      </c>
      <c r="K127" s="226">
        <v>44462</v>
      </c>
      <c r="L127" s="226">
        <v>44462</v>
      </c>
      <c r="M127" s="226" t="str">
        <f>IFERROR(IF(VLOOKUP(功能_33[[#This Row],[功能代號]],討論項目!A:H,8,FALSE)=0,"",VLOOKUP(功能_33[[#This Row],[功能代號]],討論項目!A:H,8,FALSE)),"")</f>
        <v/>
      </c>
      <c r="N127" s="308" t="s">
        <v>7</v>
      </c>
      <c r="O127" s="308" t="s">
        <v>11</v>
      </c>
      <c r="P127" s="277" t="s">
        <v>25</v>
      </c>
      <c r="T127" s="308"/>
      <c r="V127" s="308"/>
      <c r="W127" s="308"/>
      <c r="X127" s="307" t="str">
        <f>VLOOKUP(功能_33[[#This Row],[User]],SKL放款!A:G,7,FALSE)</f>
        <v>放款服務課</v>
      </c>
      <c r="Y127" s="228">
        <f>IF(功能_33[[#This Row],[實際展示]]="","",功能_33[[#This Row],[實際展示]]+14)</f>
        <v>44476</v>
      </c>
      <c r="Z127" s="226">
        <v>44477</v>
      </c>
      <c r="AA127" s="226">
        <f>IF(功能_33[[#This Row],[URS交二審]]=0,"",功能_33[[#This Row],[URS交二審]]+7)</f>
        <v>44484</v>
      </c>
      <c r="AB127" s="226">
        <f>IF(功能_33[[#This Row],[URS交二審]]=0,"",功能_33[[#This Row],[URS交二審]]+7)</f>
        <v>44484</v>
      </c>
      <c r="AC127" s="226">
        <v>44489</v>
      </c>
      <c r="AD127" s="226"/>
      <c r="AG127" s="226" t="str">
        <f>IFERROR(IF(VLOOKUP(功能_33[[#This Row],[功能代號]],E:Q,11,FALSE)=0,"",VLOOKUP(功能_33[[#This Row],[功能代號]],E:Q,11,FALSE)),"")</f>
        <v>蔡珮瑜</v>
      </c>
      <c r="AH127" s="226"/>
      <c r="AI127" s="226"/>
      <c r="AJ127" s="307"/>
      <c r="AK127" s="226"/>
      <c r="AN127" s="307" t="e">
        <f>VLOOKUP(功能_33[[#This Row],[功能代號]],工作表2!B:B,1,FALSE)</f>
        <v>#N/A</v>
      </c>
    </row>
    <row r="128" spans="1:40" ht="13.2" hidden="1" customHeight="1">
      <c r="A128" s="224">
        <v>275</v>
      </c>
      <c r="B128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07" t="s">
        <v>105</v>
      </c>
      <c r="D128" s="307" t="s">
        <v>483</v>
      </c>
      <c r="E128" s="308" t="s">
        <v>490</v>
      </c>
      <c r="F128" s="307" t="s">
        <v>491</v>
      </c>
      <c r="G128" s="307"/>
      <c r="H128" s="308" t="s">
        <v>486</v>
      </c>
      <c r="I128" s="308" t="s">
        <v>486</v>
      </c>
      <c r="J128" s="229" t="s">
        <v>487</v>
      </c>
      <c r="K128" s="226">
        <v>44462</v>
      </c>
      <c r="L128" s="226">
        <v>44462</v>
      </c>
      <c r="M128" s="226">
        <f>IFERROR(IF(VLOOKUP(功能_33[[#This Row],[功能代號]],討論項目!A:H,8,FALSE)=0,"",VLOOKUP(功能_33[[#This Row],[功能代號]],討論項目!A:H,8,FALSE)),"")</f>
        <v>44470</v>
      </c>
      <c r="N128" s="308" t="s">
        <v>7</v>
      </c>
      <c r="O128" s="308" t="s">
        <v>11</v>
      </c>
      <c r="P128" s="277" t="s">
        <v>25</v>
      </c>
      <c r="T128" s="308"/>
      <c r="V128" s="308"/>
      <c r="W128" s="308"/>
      <c r="X128" s="307" t="str">
        <f>VLOOKUP(功能_33[[#This Row],[User]],SKL放款!A:G,7,FALSE)</f>
        <v>放款服務課</v>
      </c>
      <c r="Y128" s="228">
        <f>IF(功能_33[[#This Row],[實際展示]]="","",功能_33[[#This Row],[實際展示]]+14)</f>
        <v>44476</v>
      </c>
      <c r="Z128" s="226">
        <v>44477</v>
      </c>
      <c r="AA128" s="226">
        <f>IF(功能_33[[#This Row],[URS交二審]]=0,"",功能_33[[#This Row],[URS交二審]]+7)</f>
        <v>44484</v>
      </c>
      <c r="AB128" s="226">
        <f>IF(功能_33[[#This Row],[URS交二審]]=0,"",功能_33[[#This Row],[URS交二審]]+7)</f>
        <v>44484</v>
      </c>
      <c r="AC128" s="226">
        <v>44489</v>
      </c>
      <c r="AD128" s="226"/>
      <c r="AG128" s="226" t="str">
        <f>IFERROR(IF(VLOOKUP(功能_33[[#This Row],[功能代號]],E:Q,11,FALSE)=0,"",VLOOKUP(功能_33[[#This Row],[功能代號]],E:Q,11,FALSE)),"")</f>
        <v>蔡珮瑜</v>
      </c>
      <c r="AH128" s="226"/>
      <c r="AI128" s="226"/>
      <c r="AJ128" s="307"/>
      <c r="AK128" s="226"/>
      <c r="AN128" s="307" t="str">
        <f>VLOOKUP(功能_33[[#This Row],[功能代號]],工作表2!B:B,1,FALSE)</f>
        <v>L5071</v>
      </c>
    </row>
    <row r="129" spans="1:40" ht="14.25" hidden="1" customHeight="1">
      <c r="A129" s="224">
        <v>284</v>
      </c>
      <c r="B1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9" s="307" t="s">
        <v>105</v>
      </c>
      <c r="D129" s="307" t="s">
        <v>483</v>
      </c>
      <c r="E129" s="308" t="s">
        <v>492</v>
      </c>
      <c r="F129" s="307" t="s">
        <v>493</v>
      </c>
      <c r="G129" s="307"/>
      <c r="H129" s="308" t="s">
        <v>486</v>
      </c>
      <c r="I129" s="308" t="s">
        <v>486</v>
      </c>
      <c r="J129" s="229" t="s">
        <v>487</v>
      </c>
      <c r="K129" s="226">
        <v>44462</v>
      </c>
      <c r="L129" s="226">
        <v>44462</v>
      </c>
      <c r="M129" s="226">
        <f>IFERROR(IF(VLOOKUP(功能_33[[#This Row],[功能代號]],討論項目!A:H,8,FALSE)=0,"",VLOOKUP(功能_33[[#This Row],[功能代號]],討論項目!A:H,8,FALSE)),"")</f>
        <v>44473</v>
      </c>
      <c r="N129" s="308" t="s">
        <v>7</v>
      </c>
      <c r="O129" s="308" t="s">
        <v>11</v>
      </c>
      <c r="P129" s="277" t="s">
        <v>25</v>
      </c>
      <c r="T129" s="308"/>
      <c r="V129" s="308"/>
      <c r="W129" s="308"/>
      <c r="X129" s="307" t="str">
        <f>VLOOKUP(功能_33[[#This Row],[User]],SKL放款!A:G,7,FALSE)</f>
        <v>放款服務課</v>
      </c>
      <c r="Y129" s="228">
        <f>IF(功能_33[[#This Row],[實際展示]]="","",功能_33[[#This Row],[實際展示]]+14)</f>
        <v>44476</v>
      </c>
      <c r="Z129" s="226">
        <v>44477</v>
      </c>
      <c r="AA129" s="226">
        <f>IF(功能_33[[#This Row],[URS交二審]]=0,"",功能_33[[#This Row],[URS交二審]]+7)</f>
        <v>44484</v>
      </c>
      <c r="AB129" s="226">
        <f>IF(功能_33[[#This Row],[URS交二審]]=0,"",功能_33[[#This Row],[URS交二審]]+7)</f>
        <v>44484</v>
      </c>
      <c r="AC129" s="226">
        <v>44489</v>
      </c>
      <c r="AD129" s="226"/>
      <c r="AG129" s="226" t="str">
        <f>IFERROR(IF(VLOOKUP(功能_33[[#This Row],[功能代號]],E:Q,11,FALSE)=0,"",VLOOKUP(功能_33[[#This Row],[功能代號]],E:Q,11,FALSE)),"")</f>
        <v>蔡珮瑜</v>
      </c>
      <c r="AH129" s="226"/>
      <c r="AI129" s="226"/>
      <c r="AJ129" s="307"/>
      <c r="AK129" s="226"/>
      <c r="AN129" s="307" t="str">
        <f>VLOOKUP(功能_33[[#This Row],[功能代號]],工作表2!B:B,1,FALSE)</f>
        <v>L5701</v>
      </c>
    </row>
    <row r="130" spans="1:40" ht="14.25" hidden="1" customHeight="1">
      <c r="A130" s="224">
        <v>285</v>
      </c>
      <c r="B13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07" t="s">
        <v>105</v>
      </c>
      <c r="D130" s="307" t="s">
        <v>483</v>
      </c>
      <c r="E130" s="308" t="s">
        <v>494</v>
      </c>
      <c r="F130" s="277" t="s">
        <v>495</v>
      </c>
      <c r="G130" s="277"/>
      <c r="H130" s="308" t="s">
        <v>486</v>
      </c>
      <c r="I130" s="308" t="s">
        <v>486</v>
      </c>
      <c r="J130" s="229" t="s">
        <v>487</v>
      </c>
      <c r="K130" s="226">
        <v>44462</v>
      </c>
      <c r="L130" s="226">
        <v>44462</v>
      </c>
      <c r="M130" s="226" t="str">
        <f>IFERROR(IF(VLOOKUP(功能_33[[#This Row],[功能代號]],討論項目!A:H,8,FALSE)=0,"",VLOOKUP(功能_33[[#This Row],[功能代號]],討論項目!A:H,8,FALSE)),"")</f>
        <v/>
      </c>
      <c r="N130" s="308" t="s">
        <v>7</v>
      </c>
      <c r="O130" s="308" t="s">
        <v>11</v>
      </c>
      <c r="P130" s="277" t="s">
        <v>25</v>
      </c>
      <c r="T130" s="308"/>
      <c r="V130" s="308"/>
      <c r="W130" s="308"/>
      <c r="X130" s="307" t="str">
        <f>VLOOKUP(功能_33[[#This Row],[User]],SKL放款!A:G,7,FALSE)</f>
        <v>放款服務課</v>
      </c>
      <c r="Y130" s="228">
        <f>IF(功能_33[[#This Row],[實際展示]]="","",功能_33[[#This Row],[實際展示]]+14)</f>
        <v>44476</v>
      </c>
      <c r="Z130" s="226">
        <v>44477</v>
      </c>
      <c r="AA130" s="226">
        <f>IF(功能_33[[#This Row],[URS交二審]]=0,"",功能_33[[#This Row],[URS交二審]]+7)</f>
        <v>44484</v>
      </c>
      <c r="AB130" s="226">
        <f>IF(功能_33[[#This Row],[URS交二審]]=0,"",功能_33[[#This Row],[URS交二審]]+7)</f>
        <v>44484</v>
      </c>
      <c r="AC130" s="226">
        <v>44489</v>
      </c>
      <c r="AD130" s="226"/>
      <c r="AG130" s="226" t="str">
        <f>IFERROR(IF(VLOOKUP(功能_33[[#This Row],[功能代號]],E:Q,11,FALSE)=0,"",VLOOKUP(功能_33[[#This Row],[功能代號]],E:Q,11,FALSE)),"")</f>
        <v>蔡珮瑜</v>
      </c>
      <c r="AH130" s="226"/>
      <c r="AI130" s="226"/>
      <c r="AJ130" s="307"/>
      <c r="AK130" s="226"/>
      <c r="AN130" s="307" t="e">
        <f>VLOOKUP(功能_33[[#This Row],[功能代號]],工作表2!B:B,1,FALSE)</f>
        <v>#N/A</v>
      </c>
    </row>
    <row r="131" spans="1:40" ht="14.25" hidden="1" customHeight="1">
      <c r="A131" s="224">
        <v>283</v>
      </c>
      <c r="B131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307" t="s">
        <v>105</v>
      </c>
      <c r="D131" s="307" t="s">
        <v>483</v>
      </c>
      <c r="E131" s="308" t="s">
        <v>496</v>
      </c>
      <c r="F131" s="307" t="s">
        <v>497</v>
      </c>
      <c r="G131" s="307"/>
      <c r="H131" s="308" t="s">
        <v>486</v>
      </c>
      <c r="I131" s="308" t="s">
        <v>486</v>
      </c>
      <c r="J131" s="229" t="s">
        <v>487</v>
      </c>
      <c r="K131" s="226">
        <v>44467</v>
      </c>
      <c r="L131" s="226">
        <v>44462</v>
      </c>
      <c r="M131" s="226">
        <f>IFERROR(IF(VLOOKUP(功能_33[[#This Row],[功能代號]],討論項目!A:H,8,FALSE)=0,"",VLOOKUP(功能_33[[#This Row],[功能代號]],討論項目!A:H,8,FALSE)),"")</f>
        <v>44468</v>
      </c>
      <c r="N131" s="308" t="s">
        <v>7</v>
      </c>
      <c r="O131" s="308" t="s">
        <v>11</v>
      </c>
      <c r="P131" s="277" t="s">
        <v>25</v>
      </c>
      <c r="T131" s="308"/>
      <c r="V131" s="308"/>
      <c r="W131" s="308"/>
      <c r="X131" s="307" t="str">
        <f>VLOOKUP(功能_33[[#This Row],[User]],SKL放款!A:G,7,FALSE)</f>
        <v>放款服務課</v>
      </c>
      <c r="Y131" s="228">
        <f>IF(功能_33[[#This Row],[實際展示]]="","",功能_33[[#This Row],[實際展示]]+14)</f>
        <v>44476</v>
      </c>
      <c r="Z131" s="226">
        <v>44477</v>
      </c>
      <c r="AA131" s="226">
        <f>IF(功能_33[[#This Row],[URS交二審]]=0,"",功能_33[[#This Row],[URS交二審]]+7)</f>
        <v>44484</v>
      </c>
      <c r="AB131" s="226">
        <f>IF(功能_33[[#This Row],[URS交二審]]=0,"",功能_33[[#This Row],[URS交二審]]+7)</f>
        <v>44484</v>
      </c>
      <c r="AC131" s="226">
        <v>44489</v>
      </c>
      <c r="AD131" s="226"/>
      <c r="AG131" s="226" t="str">
        <f>IFERROR(IF(VLOOKUP(功能_33[[#This Row],[功能代號]],E:Q,11,FALSE)=0,"",VLOOKUP(功能_33[[#This Row],[功能代號]],E:Q,11,FALSE)),"")</f>
        <v>蔡珮瑜</v>
      </c>
      <c r="AH131" s="226"/>
      <c r="AI131" s="226"/>
      <c r="AJ131" s="307"/>
      <c r="AK131" s="226"/>
      <c r="AN131" s="307" t="str">
        <f>VLOOKUP(功能_33[[#This Row],[功能代號]],工作表2!B:B,1,FALSE)</f>
        <v>L5075</v>
      </c>
    </row>
    <row r="132" spans="1:40" ht="14.25" hidden="1" customHeight="1">
      <c r="A132" s="224">
        <v>286</v>
      </c>
      <c r="B132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07" t="s">
        <v>105</v>
      </c>
      <c r="D132" s="307" t="s">
        <v>483</v>
      </c>
      <c r="E132" s="308" t="s">
        <v>498</v>
      </c>
      <c r="F132" s="307" t="s">
        <v>499</v>
      </c>
      <c r="G132" s="307"/>
      <c r="H132" s="308" t="s">
        <v>486</v>
      </c>
      <c r="I132" s="308" t="s">
        <v>486</v>
      </c>
      <c r="J132" s="229" t="s">
        <v>487</v>
      </c>
      <c r="K132" s="226">
        <v>44467</v>
      </c>
      <c r="L132" s="226">
        <v>44462</v>
      </c>
      <c r="M132" s="226" t="str">
        <f>IFERROR(IF(VLOOKUP(功能_33[[#This Row],[功能代號]],討論項目!A:H,8,FALSE)=0,"",VLOOKUP(功能_33[[#This Row],[功能代號]],討論項目!A:H,8,FALSE)),"")</f>
        <v/>
      </c>
      <c r="N132" s="308" t="s">
        <v>7</v>
      </c>
      <c r="O132" s="308" t="s">
        <v>11</v>
      </c>
      <c r="P132" s="277" t="s">
        <v>25</v>
      </c>
      <c r="T132" s="308"/>
      <c r="V132" s="308"/>
      <c r="W132" s="308"/>
      <c r="X132" s="307" t="str">
        <f>VLOOKUP(功能_33[[#This Row],[User]],SKL放款!A:G,7,FALSE)</f>
        <v>放款服務課</v>
      </c>
      <c r="Y132" s="228">
        <f>IF(功能_33[[#This Row],[實際展示]]="","",功能_33[[#This Row],[實際展示]]+14)</f>
        <v>44476</v>
      </c>
      <c r="Z132" s="226">
        <v>44477</v>
      </c>
      <c r="AA132" s="226">
        <f>IF(功能_33[[#This Row],[URS交二審]]=0,"",功能_33[[#This Row],[URS交二審]]+7)</f>
        <v>44484</v>
      </c>
      <c r="AB132" s="226">
        <f>IF(功能_33[[#This Row],[URS交二審]]=0,"",功能_33[[#This Row],[URS交二審]]+7)</f>
        <v>44484</v>
      </c>
      <c r="AC132" s="226">
        <v>44489</v>
      </c>
      <c r="AD132" s="226"/>
      <c r="AG132" s="226" t="str">
        <f>IFERROR(IF(VLOOKUP(功能_33[[#This Row],[功能代號]],E:Q,11,FALSE)=0,"",VLOOKUP(功能_33[[#This Row],[功能代號]],E:Q,11,FALSE)),"")</f>
        <v>蔡珮瑜</v>
      </c>
      <c r="AH132" s="226"/>
      <c r="AI132" s="226"/>
      <c r="AJ132" s="307"/>
      <c r="AK132" s="226"/>
      <c r="AN132" s="307" t="e">
        <f>VLOOKUP(功能_33[[#This Row],[功能代號]],工作表2!B:B,1,FALSE)</f>
        <v>#N/A</v>
      </c>
    </row>
    <row r="133" spans="1:40" ht="14.25" hidden="1" customHeight="1">
      <c r="A133" s="224">
        <v>289</v>
      </c>
      <c r="B133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07" t="s">
        <v>105</v>
      </c>
      <c r="D133" s="307" t="s">
        <v>483</v>
      </c>
      <c r="E133" s="308" t="s">
        <v>500</v>
      </c>
      <c r="F133" s="277" t="s">
        <v>501</v>
      </c>
      <c r="G133" s="277"/>
      <c r="H133" s="308" t="s">
        <v>486</v>
      </c>
      <c r="I133" s="308" t="s">
        <v>486</v>
      </c>
      <c r="J133" s="229" t="s">
        <v>487</v>
      </c>
      <c r="K133" s="226">
        <v>44467</v>
      </c>
      <c r="L133" s="226">
        <v>44462</v>
      </c>
      <c r="M133" s="226" t="str">
        <f>IFERROR(IF(VLOOKUP(功能_33[[#This Row],[功能代號]],討論項目!A:H,8,FALSE)=0,"",VLOOKUP(功能_33[[#This Row],[功能代號]],討論項目!A:H,8,FALSE)),"")</f>
        <v/>
      </c>
      <c r="N133" s="308" t="s">
        <v>7</v>
      </c>
      <c r="O133" s="308" t="s">
        <v>11</v>
      </c>
      <c r="P133" s="277" t="s">
        <v>25</v>
      </c>
      <c r="T133" s="308"/>
      <c r="V133" s="308"/>
      <c r="W133" s="308"/>
      <c r="X133" s="307" t="str">
        <f>VLOOKUP(功能_33[[#This Row],[User]],SKL放款!A:G,7,FALSE)</f>
        <v>放款服務課</v>
      </c>
      <c r="Y133" s="228">
        <f>IF(功能_33[[#This Row],[實際展示]]="","",功能_33[[#This Row],[實際展示]]+14)</f>
        <v>44476</v>
      </c>
      <c r="Z133" s="226">
        <v>44477</v>
      </c>
      <c r="AA133" s="226">
        <f>IF(功能_33[[#This Row],[URS交二審]]=0,"",功能_33[[#This Row],[URS交二審]]+7)</f>
        <v>44484</v>
      </c>
      <c r="AB133" s="226">
        <f>IF(功能_33[[#This Row],[URS交二審]]=0,"",功能_33[[#This Row],[URS交二審]]+7)</f>
        <v>44484</v>
      </c>
      <c r="AC133" s="226">
        <v>44489</v>
      </c>
      <c r="AD133" s="226"/>
      <c r="AG133" s="226" t="str">
        <f>IFERROR(IF(VLOOKUP(功能_33[[#This Row],[功能代號]],E:Q,11,FALSE)=0,"",VLOOKUP(功能_33[[#This Row],[功能代號]],E:Q,11,FALSE)),"")</f>
        <v>蔡珮瑜</v>
      </c>
      <c r="AH133" s="226"/>
      <c r="AI133" s="226"/>
      <c r="AJ133" s="307"/>
      <c r="AK133" s="226"/>
      <c r="AN133" s="307" t="e">
        <f>VLOOKUP(功能_33[[#This Row],[功能代號]],工作表2!B:B,1,FALSE)</f>
        <v>#N/A</v>
      </c>
    </row>
    <row r="134" spans="1:40" ht="14.25" hidden="1" customHeight="1">
      <c r="A134" s="224">
        <v>288</v>
      </c>
      <c r="B134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307" t="s">
        <v>105</v>
      </c>
      <c r="D134" s="307" t="s">
        <v>483</v>
      </c>
      <c r="E134" s="308" t="s">
        <v>502</v>
      </c>
      <c r="F134" s="307" t="s">
        <v>503</v>
      </c>
      <c r="G134" s="307"/>
      <c r="H134" s="308" t="s">
        <v>486</v>
      </c>
      <c r="I134" s="308" t="s">
        <v>486</v>
      </c>
      <c r="J134" s="229" t="s">
        <v>487</v>
      </c>
      <c r="K134" s="226">
        <v>44467</v>
      </c>
      <c r="L134" s="226">
        <v>44462</v>
      </c>
      <c r="M134" s="226">
        <f>IFERROR(IF(VLOOKUP(功能_33[[#This Row],[功能代號]],討論項目!A:H,8,FALSE)=0,"",VLOOKUP(功能_33[[#This Row],[功能代號]],討論項目!A:H,8,FALSE)),"")</f>
        <v>44468</v>
      </c>
      <c r="N134" s="308" t="s">
        <v>7</v>
      </c>
      <c r="O134" s="308" t="s">
        <v>11</v>
      </c>
      <c r="P134" s="277" t="s">
        <v>25</v>
      </c>
      <c r="T134" s="308"/>
      <c r="V134" s="308"/>
      <c r="W134" s="308"/>
      <c r="X134" s="307" t="str">
        <f>VLOOKUP(功能_33[[#This Row],[User]],SKL放款!A:G,7,FALSE)</f>
        <v>放款服務課</v>
      </c>
      <c r="Y134" s="228">
        <f>IF(功能_33[[#This Row],[實際展示]]="","",功能_33[[#This Row],[實際展示]]+14)</f>
        <v>44476</v>
      </c>
      <c r="Z134" s="226">
        <v>44477</v>
      </c>
      <c r="AA134" s="226">
        <f>IF(功能_33[[#This Row],[URS交二審]]=0,"",功能_33[[#This Row],[URS交二審]]+7)</f>
        <v>44484</v>
      </c>
      <c r="AB134" s="226">
        <f>IF(功能_33[[#This Row],[URS交二審]]=0,"",功能_33[[#This Row],[URS交二審]]+7)</f>
        <v>44484</v>
      </c>
      <c r="AC134" s="226">
        <v>44489</v>
      </c>
      <c r="AD134" s="226"/>
      <c r="AG134" s="226" t="str">
        <f>IFERROR(IF(VLOOKUP(功能_33[[#This Row],[功能代號]],E:Q,11,FALSE)=0,"",VLOOKUP(功能_33[[#This Row],[功能代號]],E:Q,11,FALSE)),"")</f>
        <v>蔡珮瑜</v>
      </c>
      <c r="AH134" s="226"/>
      <c r="AI134" s="226"/>
      <c r="AJ134" s="307"/>
      <c r="AK134" s="226"/>
      <c r="AN134" s="307" t="str">
        <f>VLOOKUP(功能_33[[#This Row],[功能代號]],工作表2!B:B,1,FALSE)</f>
        <v>L5970</v>
      </c>
    </row>
    <row r="135" spans="1:40" ht="14.25" hidden="1" customHeight="1">
      <c r="A135" s="224">
        <v>291</v>
      </c>
      <c r="B135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307" t="s">
        <v>105</v>
      </c>
      <c r="D135" s="307" t="s">
        <v>483</v>
      </c>
      <c r="E135" s="308" t="s">
        <v>504</v>
      </c>
      <c r="F135" s="307" t="s">
        <v>505</v>
      </c>
      <c r="G135" s="307"/>
      <c r="H135" s="308" t="s">
        <v>486</v>
      </c>
      <c r="I135" s="308" t="s">
        <v>486</v>
      </c>
      <c r="J135" s="229" t="s">
        <v>487</v>
      </c>
      <c r="K135" s="226">
        <v>44463</v>
      </c>
      <c r="L135" s="226">
        <v>44463</v>
      </c>
      <c r="M135" s="226" t="str">
        <f>IFERROR(IF(VLOOKUP(功能_33[[#This Row],[功能代號]],討論項目!A:H,8,FALSE)=0,"",VLOOKUP(功能_33[[#This Row],[功能代號]],討論項目!A:H,8,FALSE)),"")</f>
        <v/>
      </c>
      <c r="N135" s="308" t="s">
        <v>7</v>
      </c>
      <c r="O135" s="308" t="s">
        <v>11</v>
      </c>
      <c r="P135" s="277" t="s">
        <v>25</v>
      </c>
      <c r="T135" s="308"/>
      <c r="V135" s="308"/>
      <c r="W135" s="308"/>
      <c r="X135" s="307" t="str">
        <f>VLOOKUP(功能_33[[#This Row],[User]],SKL放款!A:G,7,FALSE)</f>
        <v>放款服務課</v>
      </c>
      <c r="Y135" s="228">
        <f>IF(功能_33[[#This Row],[實際展示]]="","",功能_33[[#This Row],[實際展示]]+14)</f>
        <v>44477</v>
      </c>
      <c r="Z135" s="226">
        <v>44477</v>
      </c>
      <c r="AA135" s="226">
        <f>IF(功能_33[[#This Row],[URS交二審]]=0,"",功能_33[[#This Row],[URS交二審]]+7)</f>
        <v>44484</v>
      </c>
      <c r="AB135" s="226">
        <f>IF(功能_33[[#This Row],[URS交二審]]=0,"",功能_33[[#This Row],[URS交二審]]+7)</f>
        <v>44484</v>
      </c>
      <c r="AC135" s="226">
        <v>44489</v>
      </c>
      <c r="AD135" s="226"/>
      <c r="AG135" s="226" t="str">
        <f>IFERROR(IF(VLOOKUP(功能_33[[#This Row],[功能代號]],E:Q,11,FALSE)=0,"",VLOOKUP(功能_33[[#This Row],[功能代號]],E:Q,11,FALSE)),"")</f>
        <v>蔡珮瑜</v>
      </c>
      <c r="AH135" s="226"/>
      <c r="AI135" s="226"/>
      <c r="AJ135" s="307"/>
      <c r="AK135" s="226"/>
      <c r="AN135" s="307" t="e">
        <f>VLOOKUP(功能_33[[#This Row],[功能代號]],工作表2!B:B,1,FALSE)</f>
        <v>#N/A</v>
      </c>
    </row>
    <row r="136" spans="1:40" ht="14.25" hidden="1" customHeight="1">
      <c r="A136" s="224">
        <v>294</v>
      </c>
      <c r="B1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6" s="307" t="s">
        <v>105</v>
      </c>
      <c r="D136" s="307" t="s">
        <v>483</v>
      </c>
      <c r="E136" s="308" t="s">
        <v>506</v>
      </c>
      <c r="F136" s="307" t="s">
        <v>507</v>
      </c>
      <c r="G136" s="307"/>
      <c r="H136" s="308" t="s">
        <v>486</v>
      </c>
      <c r="I136" s="308" t="s">
        <v>486</v>
      </c>
      <c r="J136" s="229" t="s">
        <v>487</v>
      </c>
      <c r="K136" s="226">
        <v>44463</v>
      </c>
      <c r="L136" s="226">
        <v>44463</v>
      </c>
      <c r="M136" s="226">
        <f>IFERROR(IF(VLOOKUP(功能_33[[#This Row],[功能代號]],討論項目!A:H,8,FALSE)=0,"",VLOOKUP(功能_33[[#This Row],[功能代號]],討論項目!A:H,8,FALSE)),"")</f>
        <v>44474</v>
      </c>
      <c r="N136" s="308" t="s">
        <v>7</v>
      </c>
      <c r="O136" s="308" t="s">
        <v>11</v>
      </c>
      <c r="P136" s="277" t="s">
        <v>25</v>
      </c>
      <c r="T136" s="308"/>
      <c r="V136" s="308"/>
      <c r="W136" s="308"/>
      <c r="X136" s="307" t="str">
        <f>VLOOKUP(功能_33[[#This Row],[User]],SKL放款!A:G,7,FALSE)</f>
        <v>放款服務課</v>
      </c>
      <c r="Y136" s="228">
        <f>IF(功能_33[[#This Row],[實際展示]]="","",功能_33[[#This Row],[實際展示]]+14)</f>
        <v>44477</v>
      </c>
      <c r="Z136" s="226">
        <v>44477</v>
      </c>
      <c r="AA136" s="226">
        <f>IF(功能_33[[#This Row],[URS交二審]]=0,"",功能_33[[#This Row],[URS交二審]]+7)</f>
        <v>44484</v>
      </c>
      <c r="AB136" s="226">
        <f>IF(功能_33[[#This Row],[URS交二審]]=0,"",功能_33[[#This Row],[URS交二審]]+7)</f>
        <v>44484</v>
      </c>
      <c r="AC136" s="226">
        <v>44489</v>
      </c>
      <c r="AD136" s="226"/>
      <c r="AG136" s="226" t="str">
        <f>IFERROR(IF(VLOOKUP(功能_33[[#This Row],[功能代號]],E:Q,11,FALSE)=0,"",VLOOKUP(功能_33[[#This Row],[功能代號]],E:Q,11,FALSE)),"")</f>
        <v>蔡珮瑜</v>
      </c>
      <c r="AH136" s="226"/>
      <c r="AI136" s="226"/>
      <c r="AJ136" s="307"/>
      <c r="AK136" s="226"/>
      <c r="AN136" s="307" t="str">
        <f>VLOOKUP(功能_33[[#This Row],[功能代號]],工作表2!B:B,1,FALSE)</f>
        <v>L597A</v>
      </c>
    </row>
    <row r="137" spans="1:40" ht="14.25" hidden="1" customHeight="1">
      <c r="A137" s="224">
        <v>292</v>
      </c>
      <c r="B1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7" s="307" t="s">
        <v>105</v>
      </c>
      <c r="D137" s="307" t="s">
        <v>483</v>
      </c>
      <c r="E137" s="308" t="s">
        <v>508</v>
      </c>
      <c r="F137" s="307" t="s">
        <v>509</v>
      </c>
      <c r="G137" s="307"/>
      <c r="H137" s="308" t="s">
        <v>486</v>
      </c>
      <c r="I137" s="308" t="s">
        <v>486</v>
      </c>
      <c r="J137" s="229" t="s">
        <v>487</v>
      </c>
      <c r="K137" s="226">
        <v>44463</v>
      </c>
      <c r="L137" s="226">
        <v>44463</v>
      </c>
      <c r="M137" s="226" t="str">
        <f>IFERROR(IF(VLOOKUP(功能_33[[#This Row],[功能代號]],討論項目!A:H,8,FALSE)=0,"",VLOOKUP(功能_33[[#This Row],[功能代號]],討論項目!A:H,8,FALSE)),"")</f>
        <v/>
      </c>
      <c r="N137" s="308" t="s">
        <v>7</v>
      </c>
      <c r="O137" s="308" t="s">
        <v>11</v>
      </c>
      <c r="P137" s="277" t="s">
        <v>25</v>
      </c>
      <c r="T137" s="308"/>
      <c r="V137" s="308"/>
      <c r="W137" s="308"/>
      <c r="X137" s="307" t="str">
        <f>VLOOKUP(功能_33[[#This Row],[User]],SKL放款!A:G,7,FALSE)</f>
        <v>放款服務課</v>
      </c>
      <c r="Y137" s="228">
        <f>IF(功能_33[[#This Row],[實際展示]]="","",功能_33[[#This Row],[實際展示]]+14)</f>
        <v>44477</v>
      </c>
      <c r="Z137" s="226">
        <v>44477</v>
      </c>
      <c r="AA137" s="226">
        <f>IF(功能_33[[#This Row],[URS交二審]]=0,"",功能_33[[#This Row],[URS交二審]]+7)</f>
        <v>44484</v>
      </c>
      <c r="AB137" s="226">
        <f>IF(功能_33[[#This Row],[URS交二審]]=0,"",功能_33[[#This Row],[URS交二審]]+7)</f>
        <v>44484</v>
      </c>
      <c r="AC137" s="226">
        <v>44489</v>
      </c>
      <c r="AD137" s="226"/>
      <c r="AG137" s="226" t="str">
        <f>IFERROR(IF(VLOOKUP(功能_33[[#This Row],[功能代號]],E:Q,11,FALSE)=0,"",VLOOKUP(功能_33[[#This Row],[功能代號]],E:Q,11,FALSE)),"")</f>
        <v>蔡珮瑜</v>
      </c>
      <c r="AH137" s="226"/>
      <c r="AI137" s="226"/>
      <c r="AJ137" s="307"/>
      <c r="AK137" s="226"/>
      <c r="AN137" s="307" t="str">
        <f>VLOOKUP(功能_33[[#This Row],[功能代號]],工作表2!B:B,1,FALSE)</f>
        <v>L5702</v>
      </c>
    </row>
    <row r="138" spans="1:40" ht="14.25" hidden="1" customHeight="1">
      <c r="A138" s="224"/>
      <c r="B13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07" t="s">
        <v>105</v>
      </c>
      <c r="D138" s="307" t="s">
        <v>483</v>
      </c>
      <c r="E138" s="308" t="s">
        <v>510</v>
      </c>
      <c r="F138" s="307" t="s">
        <v>511</v>
      </c>
      <c r="G138" s="307" t="s">
        <v>512</v>
      </c>
      <c r="H138" s="308" t="s">
        <v>486</v>
      </c>
      <c r="I138" s="308" t="s">
        <v>486</v>
      </c>
      <c r="J138" s="229" t="s">
        <v>487</v>
      </c>
      <c r="K138" s="226">
        <v>44463</v>
      </c>
      <c r="L138" s="226">
        <v>44463</v>
      </c>
      <c r="M138" s="226">
        <v>44473</v>
      </c>
      <c r="N138" s="308" t="s">
        <v>7</v>
      </c>
      <c r="O138" s="308" t="s">
        <v>11</v>
      </c>
      <c r="P138" s="277" t="s">
        <v>25</v>
      </c>
      <c r="T138" s="308"/>
      <c r="V138" s="308"/>
      <c r="W138" s="308"/>
      <c r="X138" s="307" t="str">
        <f>VLOOKUP(功能_33[[#This Row],[User]],SKL放款!A:G,7,FALSE)</f>
        <v>放款服務課</v>
      </c>
      <c r="Y138" s="228">
        <f>IF(功能_33[[#This Row],[實際展示]]="","",功能_33[[#This Row],[實際展示]]+14)</f>
        <v>44477</v>
      </c>
      <c r="Z138" s="226">
        <v>44477</v>
      </c>
      <c r="AA138" s="226">
        <f>IF(功能_33[[#This Row],[URS交二審]]=0,"",功能_33[[#This Row],[URS交二審]]+7)</f>
        <v>44484</v>
      </c>
      <c r="AB138" s="226">
        <f>IF(功能_33[[#This Row],[URS交二審]]=0,"",功能_33[[#This Row],[URS交二審]]+7)</f>
        <v>44484</v>
      </c>
      <c r="AC138" s="226">
        <v>44489</v>
      </c>
      <c r="AD138" s="226"/>
      <c r="AG138" s="226" t="str">
        <f>IFERROR(IF(VLOOKUP(功能_33[[#This Row],[功能代號]],E:Q,11,FALSE)=0,"",VLOOKUP(功能_33[[#This Row],[功能代號]],E:Q,11,FALSE)),"")</f>
        <v>蔡珮瑜</v>
      </c>
      <c r="AH138" s="226"/>
      <c r="AI138" s="226"/>
      <c r="AJ138" s="307"/>
      <c r="AN138" s="307" t="e">
        <f>VLOOKUP(功能_33[[#This Row],[功能代號]],工作表2!B:B,1,FALSE)</f>
        <v>#N/A</v>
      </c>
    </row>
    <row r="139" spans="1:40" ht="14.25" hidden="1" customHeight="1">
      <c r="A139" s="224">
        <v>276</v>
      </c>
      <c r="B139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9" s="307" t="s">
        <v>105</v>
      </c>
      <c r="D139" s="307" t="s">
        <v>483</v>
      </c>
      <c r="E139" s="308" t="s">
        <v>513</v>
      </c>
      <c r="F139" s="307" t="s">
        <v>514</v>
      </c>
      <c r="G139" s="307"/>
      <c r="H139" s="308" t="s">
        <v>486</v>
      </c>
      <c r="I139" s="308" t="s">
        <v>486</v>
      </c>
      <c r="J139" s="229" t="s">
        <v>487</v>
      </c>
      <c r="K139" s="226">
        <v>44463</v>
      </c>
      <c r="L139" s="226">
        <v>44463</v>
      </c>
      <c r="M139" s="226">
        <f>IFERROR(IF(VLOOKUP(功能_33[[#This Row],[功能代號]],討論項目!A:H,8,FALSE)=0,"",VLOOKUP(功能_33[[#This Row],[功能代號]],討論項目!A:H,8,FALSE)),"")</f>
        <v>44468</v>
      </c>
      <c r="N139" s="308" t="s">
        <v>7</v>
      </c>
      <c r="O139" s="308" t="s">
        <v>11</v>
      </c>
      <c r="P139" s="277" t="s">
        <v>25</v>
      </c>
      <c r="T139" s="308"/>
      <c r="V139" s="308"/>
      <c r="W139" s="308"/>
      <c r="X139" s="307" t="str">
        <f>VLOOKUP(功能_33[[#This Row],[User]],SKL放款!A:G,7,FALSE)</f>
        <v>放款服務課</v>
      </c>
      <c r="Y139" s="228">
        <f>IF(功能_33[[#This Row],[實際展示]]="","",功能_33[[#This Row],[實際展示]]+14)</f>
        <v>44477</v>
      </c>
      <c r="Z139" s="226">
        <v>44477</v>
      </c>
      <c r="AA139" s="226">
        <f>IF(功能_33[[#This Row],[URS交二審]]=0,"",功能_33[[#This Row],[URS交二審]]+7)</f>
        <v>44484</v>
      </c>
      <c r="AB139" s="226">
        <f>IF(功能_33[[#This Row],[URS交二審]]=0,"",功能_33[[#This Row],[URS交二審]]+7)</f>
        <v>44484</v>
      </c>
      <c r="AC139" s="226">
        <v>44489</v>
      </c>
      <c r="AD139" s="226"/>
      <c r="AG139" s="226" t="str">
        <f>IFERROR(IF(VLOOKUP(功能_33[[#This Row],[功能代號]],E:Q,11,FALSE)=0,"",VLOOKUP(功能_33[[#This Row],[功能代號]],E:Q,11,FALSE)),"")</f>
        <v>蔡珮瑜</v>
      </c>
      <c r="AH139" s="226"/>
      <c r="AI139" s="226"/>
      <c r="AJ139" s="307"/>
      <c r="AK139" s="226"/>
      <c r="AN139" s="307" t="str">
        <f>VLOOKUP(功能_33[[#This Row],[功能代號]],工作表2!B:B,1,FALSE)</f>
        <v>L5971</v>
      </c>
    </row>
    <row r="140" spans="1:40" ht="14.25" hidden="1" customHeight="1">
      <c r="A140" s="224">
        <v>277</v>
      </c>
      <c r="B14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307" t="s">
        <v>105</v>
      </c>
      <c r="D140" s="307" t="s">
        <v>483</v>
      </c>
      <c r="E140" s="308" t="s">
        <v>515</v>
      </c>
      <c r="F140" s="307" t="s">
        <v>516</v>
      </c>
      <c r="G140" s="307"/>
      <c r="H140" s="308" t="s">
        <v>486</v>
      </c>
      <c r="I140" s="308" t="s">
        <v>486</v>
      </c>
      <c r="J140" s="229" t="s">
        <v>487</v>
      </c>
      <c r="K140" s="226">
        <v>44463</v>
      </c>
      <c r="L140" s="226">
        <v>44463</v>
      </c>
      <c r="M140" s="226" t="str">
        <f>IFERROR(IF(VLOOKUP(功能_33[[#This Row],[功能代號]],討論項目!A:H,8,FALSE)=0,"",VLOOKUP(功能_33[[#This Row],[功能代號]],討論項目!A:H,8,FALSE)),"")</f>
        <v/>
      </c>
      <c r="N140" s="308" t="s">
        <v>7</v>
      </c>
      <c r="O140" s="308" t="s">
        <v>11</v>
      </c>
      <c r="P140" s="277" t="s">
        <v>25</v>
      </c>
      <c r="T140" s="308"/>
      <c r="V140" s="308"/>
      <c r="W140" s="308"/>
      <c r="X140" s="307" t="str">
        <f>VLOOKUP(功能_33[[#This Row],[User]],SKL放款!A:G,7,FALSE)</f>
        <v>放款服務課</v>
      </c>
      <c r="Y140" s="228">
        <f>IF(功能_33[[#This Row],[實際展示]]="","",功能_33[[#This Row],[實際展示]]+14)</f>
        <v>44477</v>
      </c>
      <c r="Z140" s="226">
        <v>44477</v>
      </c>
      <c r="AA140" s="226">
        <f>IF(功能_33[[#This Row],[URS交二審]]=0,"",功能_33[[#This Row],[URS交二審]]+7)</f>
        <v>44484</v>
      </c>
      <c r="AB140" s="226">
        <f>IF(功能_33[[#This Row],[URS交二審]]=0,"",功能_33[[#This Row],[URS交二審]]+7)</f>
        <v>44484</v>
      </c>
      <c r="AC140" s="226">
        <v>44489</v>
      </c>
      <c r="AD140" s="226"/>
      <c r="AG140" s="226" t="str">
        <f>IFERROR(IF(VLOOKUP(功能_33[[#This Row],[功能代號]],E:Q,11,FALSE)=0,"",VLOOKUP(功能_33[[#This Row],[功能代號]],E:Q,11,FALSE)),"")</f>
        <v>蔡珮瑜</v>
      </c>
      <c r="AH140" s="226"/>
      <c r="AI140" s="226"/>
      <c r="AJ140" s="307"/>
      <c r="AK140" s="226"/>
      <c r="AN140" s="307" t="e">
        <f>VLOOKUP(功能_33[[#This Row],[功能代號]],工作表2!B:B,1,FALSE)</f>
        <v>#N/A</v>
      </c>
    </row>
    <row r="141" spans="1:40" ht="14.25" hidden="1" customHeight="1">
      <c r="A141" s="224">
        <v>287</v>
      </c>
      <c r="B14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1" s="307" t="s">
        <v>105</v>
      </c>
      <c r="D141" s="307" t="s">
        <v>483</v>
      </c>
      <c r="E141" s="308" t="s">
        <v>517</v>
      </c>
      <c r="F141" s="307" t="s">
        <v>518</v>
      </c>
      <c r="G141" s="307"/>
      <c r="H141" s="308" t="s">
        <v>486</v>
      </c>
      <c r="I141" s="308" t="s">
        <v>486</v>
      </c>
      <c r="J141" s="229" t="s">
        <v>487</v>
      </c>
      <c r="K141" s="226">
        <v>44466</v>
      </c>
      <c r="L141" s="226">
        <v>44463</v>
      </c>
      <c r="M141" s="226" t="str">
        <f>IFERROR(IF(VLOOKUP(功能_33[[#This Row],[功能代號]],討論項目!A:H,8,FALSE)=0,"",VLOOKUP(功能_33[[#This Row],[功能代號]],討論項目!A:H,8,FALSE)),"")</f>
        <v/>
      </c>
      <c r="N141" s="308" t="s">
        <v>7</v>
      </c>
      <c r="O141" s="308" t="s">
        <v>11</v>
      </c>
      <c r="P141" s="277" t="s">
        <v>25</v>
      </c>
      <c r="T141" s="308"/>
      <c r="V141" s="308"/>
      <c r="W141" s="308"/>
      <c r="X141" s="307" t="str">
        <f>VLOOKUP(功能_33[[#This Row],[User]],SKL放款!A:G,7,FALSE)</f>
        <v>放款服務課</v>
      </c>
      <c r="Y141" s="228">
        <f>IF(功能_33[[#This Row],[實際展示]]="","",功能_33[[#This Row],[實際展示]]+14)</f>
        <v>44477</v>
      </c>
      <c r="Z141" s="226">
        <v>44477</v>
      </c>
      <c r="AA141" s="226">
        <f>IF(功能_33[[#This Row],[URS交二審]]=0,"",功能_33[[#This Row],[URS交二審]]+7)</f>
        <v>44484</v>
      </c>
      <c r="AB141" s="226">
        <f>IF(功能_33[[#This Row],[URS交二審]]=0,"",功能_33[[#This Row],[URS交二審]]+7)</f>
        <v>44484</v>
      </c>
      <c r="AC141" s="226">
        <v>44489</v>
      </c>
      <c r="AD141" s="226"/>
      <c r="AG141" s="226" t="str">
        <f>IFERROR(IF(VLOOKUP(功能_33[[#This Row],[功能代號]],E:Q,11,FALSE)=0,"",VLOOKUP(功能_33[[#This Row],[功能代號]],E:Q,11,FALSE)),"")</f>
        <v>蔡珮瑜</v>
      </c>
      <c r="AH141" s="226"/>
      <c r="AI141" s="226"/>
      <c r="AJ141" s="307"/>
      <c r="AK141" s="226"/>
      <c r="AN141" s="307" t="e">
        <f>VLOOKUP(功能_33[[#This Row],[功能代號]],工作表2!B:B,1,FALSE)</f>
        <v>#N/A</v>
      </c>
    </row>
    <row r="142" spans="1:40" ht="14.25" hidden="1" customHeight="1">
      <c r="A142" s="224">
        <v>290</v>
      </c>
      <c r="B1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2" s="307" t="s">
        <v>105</v>
      </c>
      <c r="D142" s="307" t="s">
        <v>483</v>
      </c>
      <c r="E142" s="308" t="s">
        <v>519</v>
      </c>
      <c r="F142" s="307" t="s">
        <v>520</v>
      </c>
      <c r="G142" s="307"/>
      <c r="H142" s="308" t="s">
        <v>486</v>
      </c>
      <c r="I142" s="308" t="s">
        <v>486</v>
      </c>
      <c r="J142" s="229" t="s">
        <v>487</v>
      </c>
      <c r="K142" s="226">
        <v>44466</v>
      </c>
      <c r="L142" s="226">
        <v>44463</v>
      </c>
      <c r="M142" s="226" t="str">
        <f>IFERROR(IF(VLOOKUP(功能_33[[#This Row],[功能代號]],討論項目!A:H,8,FALSE)=0,"",VLOOKUP(功能_33[[#This Row],[功能代號]],討論項目!A:H,8,FALSE)),"")</f>
        <v/>
      </c>
      <c r="N142" s="308" t="s">
        <v>7</v>
      </c>
      <c r="O142" s="308" t="s">
        <v>11</v>
      </c>
      <c r="P142" s="277" t="s">
        <v>25</v>
      </c>
      <c r="T142" s="308"/>
      <c r="V142" s="308"/>
      <c r="W142" s="308"/>
      <c r="X142" s="307" t="str">
        <f>VLOOKUP(功能_33[[#This Row],[User]],SKL放款!A:G,7,FALSE)</f>
        <v>放款服務課</v>
      </c>
      <c r="Y142" s="228">
        <f>IF(功能_33[[#This Row],[實際展示]]="","",功能_33[[#This Row],[實際展示]]+14)</f>
        <v>44477</v>
      </c>
      <c r="Z142" s="226">
        <v>44477</v>
      </c>
      <c r="AA142" s="226">
        <f>IF(功能_33[[#This Row],[URS交二審]]=0,"",功能_33[[#This Row],[URS交二審]]+7)</f>
        <v>44484</v>
      </c>
      <c r="AB142" s="226">
        <f>IF(功能_33[[#This Row],[URS交二審]]=0,"",功能_33[[#This Row],[URS交二審]]+7)</f>
        <v>44484</v>
      </c>
      <c r="AC142" s="226">
        <v>44489</v>
      </c>
      <c r="AD142" s="226"/>
      <c r="AG142" s="226" t="str">
        <f>IFERROR(IF(VLOOKUP(功能_33[[#This Row],[功能代號]],E:Q,11,FALSE)=0,"",VLOOKUP(功能_33[[#This Row],[功能代號]],E:Q,11,FALSE)),"")</f>
        <v>蔡珮瑜</v>
      </c>
      <c r="AH142" s="226"/>
      <c r="AI142" s="226"/>
      <c r="AJ142" s="307"/>
      <c r="AK142" s="226"/>
      <c r="AN142" s="307" t="e">
        <f>VLOOKUP(功能_33[[#This Row],[功能代號]],工作表2!B:B,1,FALSE)</f>
        <v>#N/A</v>
      </c>
    </row>
    <row r="143" spans="1:40" ht="14.25" hidden="1" customHeight="1">
      <c r="A143" s="224">
        <v>279</v>
      </c>
      <c r="B143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3" s="307" t="s">
        <v>105</v>
      </c>
      <c r="D143" s="307" t="s">
        <v>483</v>
      </c>
      <c r="E143" s="308" t="s">
        <v>521</v>
      </c>
      <c r="F143" s="307" t="s">
        <v>522</v>
      </c>
      <c r="G143" s="307"/>
      <c r="H143" s="308" t="s">
        <v>486</v>
      </c>
      <c r="I143" s="308" t="s">
        <v>486</v>
      </c>
      <c r="J143" s="229" t="s">
        <v>487</v>
      </c>
      <c r="K143" s="226">
        <v>44466</v>
      </c>
      <c r="L143" s="226">
        <v>44463</v>
      </c>
      <c r="M143" s="226" t="str">
        <f>IFERROR(IF(VLOOKUP(功能_33[[#This Row],[功能代號]],討論項目!A:H,8,FALSE)=0,"",VLOOKUP(功能_33[[#This Row],[功能代號]],討論項目!A:H,8,FALSE)),"")</f>
        <v/>
      </c>
      <c r="N143" s="308" t="s">
        <v>7</v>
      </c>
      <c r="O143" s="308" t="s">
        <v>11</v>
      </c>
      <c r="P143" s="277" t="s">
        <v>25</v>
      </c>
      <c r="T143" s="308"/>
      <c r="V143" s="308"/>
      <c r="W143" s="308"/>
      <c r="X143" s="307" t="str">
        <f>VLOOKUP(功能_33[[#This Row],[User]],SKL放款!A:G,7,FALSE)</f>
        <v>放款服務課</v>
      </c>
      <c r="Y143" s="228">
        <f>IF(功能_33[[#This Row],[實際展示]]="","",功能_33[[#This Row],[實際展示]]+14)</f>
        <v>44477</v>
      </c>
      <c r="Z143" s="226">
        <v>44477</v>
      </c>
      <c r="AA143" s="226">
        <f>IF(功能_33[[#This Row],[URS交二審]]=0,"",功能_33[[#This Row],[URS交二審]]+7)</f>
        <v>44484</v>
      </c>
      <c r="AB143" s="226">
        <f>IF(功能_33[[#This Row],[URS交二審]]=0,"",功能_33[[#This Row],[URS交二審]]+7)</f>
        <v>44484</v>
      </c>
      <c r="AC143" s="226">
        <v>44489</v>
      </c>
      <c r="AD143" s="226"/>
      <c r="AG143" s="226" t="str">
        <f>IFERROR(IF(VLOOKUP(功能_33[[#This Row],[功能代號]],E:Q,11,FALSE)=0,"",VLOOKUP(功能_33[[#This Row],[功能代號]],E:Q,11,FALSE)),"")</f>
        <v>蔡珮瑜</v>
      </c>
      <c r="AH143" s="226"/>
      <c r="AI143" s="226"/>
      <c r="AJ143" s="307"/>
      <c r="AK143" s="226"/>
      <c r="AN143" s="307" t="e">
        <f>VLOOKUP(功能_33[[#This Row],[功能代號]],工作表2!B:B,1,FALSE)</f>
        <v>#N/A</v>
      </c>
    </row>
    <row r="144" spans="1:40" ht="14.25" hidden="1" customHeight="1">
      <c r="A144" s="224">
        <v>278</v>
      </c>
      <c r="B144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307" t="s">
        <v>105</v>
      </c>
      <c r="D144" s="307" t="s">
        <v>483</v>
      </c>
      <c r="E144" s="308" t="s">
        <v>523</v>
      </c>
      <c r="F144" s="307" t="s">
        <v>524</v>
      </c>
      <c r="G144" s="307"/>
      <c r="H144" s="308" t="s">
        <v>486</v>
      </c>
      <c r="I144" s="308" t="s">
        <v>486</v>
      </c>
      <c r="J144" s="229" t="s">
        <v>487</v>
      </c>
      <c r="K144" s="226">
        <v>44466</v>
      </c>
      <c r="L144" s="226">
        <v>44463</v>
      </c>
      <c r="M144" s="226" t="str">
        <f>IFERROR(IF(VLOOKUP(功能_33[[#This Row],[功能代號]],討論項目!A:H,8,FALSE)=0,"",VLOOKUP(功能_33[[#This Row],[功能代號]],討論項目!A:H,8,FALSE)),"")</f>
        <v/>
      </c>
      <c r="N144" s="308" t="s">
        <v>7</v>
      </c>
      <c r="O144" s="308" t="s">
        <v>11</v>
      </c>
      <c r="P144" s="277" t="s">
        <v>25</v>
      </c>
      <c r="T144" s="308"/>
      <c r="V144" s="308"/>
      <c r="W144" s="308"/>
      <c r="X144" s="307" t="str">
        <f>VLOOKUP(功能_33[[#This Row],[User]],SKL放款!A:G,7,FALSE)</f>
        <v>放款服務課</v>
      </c>
      <c r="Y144" s="228">
        <f>IF(功能_33[[#This Row],[實際展示]]="","",功能_33[[#This Row],[實際展示]]+14)</f>
        <v>44477</v>
      </c>
      <c r="Z144" s="226">
        <v>44477</v>
      </c>
      <c r="AA144" s="226">
        <f>IF(功能_33[[#This Row],[URS交二審]]=0,"",功能_33[[#This Row],[URS交二審]]+7)</f>
        <v>44484</v>
      </c>
      <c r="AB144" s="226">
        <f>IF(功能_33[[#This Row],[URS交二審]]=0,"",功能_33[[#This Row],[URS交二審]]+7)</f>
        <v>44484</v>
      </c>
      <c r="AC144" s="226">
        <v>44489</v>
      </c>
      <c r="AD144" s="226"/>
      <c r="AG144" s="226" t="str">
        <f>IFERROR(IF(VLOOKUP(功能_33[[#This Row],[功能代號]],E:Q,11,FALSE)=0,"",VLOOKUP(功能_33[[#This Row],[功能代號]],E:Q,11,FALSE)),"")</f>
        <v>蔡珮瑜</v>
      </c>
      <c r="AH144" s="226"/>
      <c r="AI144" s="226"/>
      <c r="AJ144" s="307"/>
      <c r="AK144" s="226"/>
      <c r="AN144" s="307" t="e">
        <f>VLOOKUP(功能_33[[#This Row],[功能代號]],工作表2!B:B,1,FALSE)</f>
        <v>#N/A</v>
      </c>
    </row>
    <row r="145" spans="1:40" ht="14.25" hidden="1" customHeight="1">
      <c r="A145" s="224">
        <v>282</v>
      </c>
      <c r="B145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07" t="s">
        <v>105</v>
      </c>
      <c r="D145" s="307" t="s">
        <v>483</v>
      </c>
      <c r="E145" s="308" t="s">
        <v>525</v>
      </c>
      <c r="F145" s="307" t="s">
        <v>526</v>
      </c>
      <c r="G145" s="307"/>
      <c r="H145" s="308" t="s">
        <v>486</v>
      </c>
      <c r="I145" s="308" t="s">
        <v>486</v>
      </c>
      <c r="J145" s="229" t="s">
        <v>487</v>
      </c>
      <c r="K145" s="226">
        <v>44466</v>
      </c>
      <c r="L145" s="226">
        <v>44463</v>
      </c>
      <c r="M145" s="226" t="str">
        <f>IFERROR(IF(VLOOKUP(功能_33[[#This Row],[功能代號]],討論項目!A:H,8,FALSE)=0,"",VLOOKUP(功能_33[[#This Row],[功能代號]],討論項目!A:H,8,FALSE)),"")</f>
        <v/>
      </c>
      <c r="N145" s="308" t="s">
        <v>7</v>
      </c>
      <c r="O145" s="308" t="s">
        <v>11</v>
      </c>
      <c r="P145" s="277" t="s">
        <v>25</v>
      </c>
      <c r="T145" s="308"/>
      <c r="V145" s="308"/>
      <c r="W145" s="308"/>
      <c r="X145" s="307" t="str">
        <f>VLOOKUP(功能_33[[#This Row],[User]],SKL放款!A:G,7,FALSE)</f>
        <v>放款服務課</v>
      </c>
      <c r="Y145" s="228">
        <f>IF(功能_33[[#This Row],[實際展示]]="","",功能_33[[#This Row],[實際展示]]+14)</f>
        <v>44477</v>
      </c>
      <c r="Z145" s="226">
        <v>44477</v>
      </c>
      <c r="AA145" s="226">
        <f>IF(功能_33[[#This Row],[URS交二審]]=0,"",功能_33[[#This Row],[URS交二審]]+7)</f>
        <v>44484</v>
      </c>
      <c r="AB145" s="226">
        <f>IF(功能_33[[#This Row],[URS交二審]]=0,"",功能_33[[#This Row],[URS交二審]]+7)</f>
        <v>44484</v>
      </c>
      <c r="AC145" s="226">
        <v>44489</v>
      </c>
      <c r="AD145" s="226"/>
      <c r="AG145" s="226" t="str">
        <f>IFERROR(IF(VLOOKUP(功能_33[[#This Row],[功能代號]],E:Q,11,FALSE)=0,"",VLOOKUP(功能_33[[#This Row],[功能代號]],E:Q,11,FALSE)),"")</f>
        <v>蔡珮瑜</v>
      </c>
      <c r="AH145" s="226"/>
      <c r="AI145" s="226"/>
      <c r="AJ145" s="307"/>
      <c r="AK145" s="226"/>
      <c r="AN145" s="307" t="e">
        <f>VLOOKUP(功能_33[[#This Row],[功能代號]],工作表2!B:B,1,FALSE)</f>
        <v>#N/A</v>
      </c>
    </row>
    <row r="146" spans="1:40" ht="14.25" hidden="1" customHeight="1">
      <c r="A146" s="224"/>
      <c r="B1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6" s="307" t="s">
        <v>105</v>
      </c>
      <c r="D146" s="307" t="s">
        <v>483</v>
      </c>
      <c r="E146" s="308" t="s">
        <v>527</v>
      </c>
      <c r="F146" s="307" t="s">
        <v>528</v>
      </c>
      <c r="G146" s="307"/>
      <c r="H146" s="308" t="s">
        <v>486</v>
      </c>
      <c r="I146" s="308" t="s">
        <v>486</v>
      </c>
      <c r="J146" s="229" t="s">
        <v>487</v>
      </c>
      <c r="K146" s="226">
        <v>44462</v>
      </c>
      <c r="L146" s="226">
        <v>44462</v>
      </c>
      <c r="M146" s="226" t="str">
        <f>IFERROR(IF(VLOOKUP(功能_33[[#This Row],[功能代號]],討論項目!A:H,8,FALSE)=0,"",VLOOKUP(功能_33[[#This Row],[功能代號]],討論項目!A:H,8,FALSE)),"")</f>
        <v/>
      </c>
      <c r="N146" s="308" t="s">
        <v>7</v>
      </c>
      <c r="O146" s="308" t="s">
        <v>11</v>
      </c>
      <c r="P146" s="277" t="s">
        <v>25</v>
      </c>
      <c r="T146" s="308"/>
      <c r="V146" s="308"/>
      <c r="W146" s="308"/>
      <c r="X146" s="307" t="str">
        <f>VLOOKUP(功能_33[[#This Row],[User]],SKL放款!A:G,7,FALSE)</f>
        <v>放款服務課</v>
      </c>
      <c r="Y146" s="228">
        <f>IF(功能_33[[#This Row],[實際展示]]="","",功能_33[[#This Row],[實際展示]]+14)</f>
        <v>44476</v>
      </c>
      <c r="Z146" s="226">
        <v>44477</v>
      </c>
      <c r="AA146" s="226">
        <f>IF(功能_33[[#This Row],[URS交二審]]=0,"",功能_33[[#This Row],[URS交二審]]+7)</f>
        <v>44484</v>
      </c>
      <c r="AB146" s="226">
        <f>IF(功能_33[[#This Row],[URS交二審]]=0,"",功能_33[[#This Row],[URS交二審]]+7)</f>
        <v>44484</v>
      </c>
      <c r="AC146" s="226">
        <v>44489</v>
      </c>
      <c r="AD146" s="226"/>
      <c r="AG146" s="226" t="str">
        <f>IFERROR(IF(VLOOKUP(功能_33[[#This Row],[功能代號]],E:Q,11,FALSE)=0,"",VLOOKUP(功能_33[[#This Row],[功能代號]],E:Q,11,FALSE)),"")</f>
        <v>蔡珮瑜</v>
      </c>
      <c r="AH146" s="226"/>
      <c r="AI146" s="226"/>
      <c r="AJ146" s="307"/>
      <c r="AN146" s="307" t="e">
        <f>VLOOKUP(功能_33[[#This Row],[功能代號]],工作表2!B:B,1,FALSE)</f>
        <v>#N/A</v>
      </c>
    </row>
    <row r="147" spans="1:40" ht="14.25" hidden="1" customHeight="1">
      <c r="A147" s="224"/>
      <c r="B147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07" t="s">
        <v>105</v>
      </c>
      <c r="D147" s="307" t="s">
        <v>483</v>
      </c>
      <c r="E147" s="308" t="s">
        <v>529</v>
      </c>
      <c r="F147" s="307" t="s">
        <v>530</v>
      </c>
      <c r="G147" s="307"/>
      <c r="H147" s="308" t="s">
        <v>486</v>
      </c>
      <c r="I147" s="308" t="s">
        <v>486</v>
      </c>
      <c r="J147" s="229" t="s">
        <v>487</v>
      </c>
      <c r="K147" s="226">
        <v>44463</v>
      </c>
      <c r="L147" s="226">
        <v>44463</v>
      </c>
      <c r="M147" s="226" t="str">
        <f>IFERROR(IF(VLOOKUP(功能_33[[#This Row],[功能代號]],討論項目!A:H,8,FALSE)=0,"",VLOOKUP(功能_33[[#This Row],[功能代號]],討論項目!A:H,8,FALSE)),"")</f>
        <v/>
      </c>
      <c r="N147" s="308" t="s">
        <v>7</v>
      </c>
      <c r="O147" s="308" t="s">
        <v>11</v>
      </c>
      <c r="P147" s="277" t="s">
        <v>25</v>
      </c>
      <c r="T147" s="308"/>
      <c r="V147" s="308"/>
      <c r="W147" s="308"/>
      <c r="X147" s="307" t="str">
        <f>VLOOKUP(功能_33[[#This Row],[User]],SKL放款!A:G,7,FALSE)</f>
        <v>放款服務課</v>
      </c>
      <c r="Y147" s="228">
        <f>IF(功能_33[[#This Row],[實際展示]]="","",功能_33[[#This Row],[實際展示]]+14)</f>
        <v>44477</v>
      </c>
      <c r="Z147" s="226">
        <v>44477</v>
      </c>
      <c r="AA147" s="226">
        <f>IF(功能_33[[#This Row],[URS交二審]]=0,"",功能_33[[#This Row],[URS交二審]]+7)</f>
        <v>44484</v>
      </c>
      <c r="AB147" s="226">
        <f>IF(功能_33[[#This Row],[URS交二審]]=0,"",功能_33[[#This Row],[URS交二審]]+7)</f>
        <v>44484</v>
      </c>
      <c r="AC147" s="226">
        <v>44489</v>
      </c>
      <c r="AD147" s="226"/>
      <c r="AG147" s="226" t="str">
        <f>IFERROR(IF(VLOOKUP(功能_33[[#This Row],[功能代號]],E:Q,11,FALSE)=0,"",VLOOKUP(功能_33[[#This Row],[功能代號]],E:Q,11,FALSE)),"")</f>
        <v>蔡珮瑜</v>
      </c>
      <c r="AH147" s="226"/>
      <c r="AI147" s="226"/>
      <c r="AJ147" s="307"/>
      <c r="AN147" s="307" t="e">
        <f>VLOOKUP(功能_33[[#This Row],[功能代號]],工作表2!B:B,1,FALSE)</f>
        <v>#N/A</v>
      </c>
    </row>
    <row r="148" spans="1:40" ht="14.25" hidden="1" customHeight="1">
      <c r="A148" s="224"/>
      <c r="B1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07" t="s">
        <v>105</v>
      </c>
      <c r="D148" s="307" t="s">
        <v>483</v>
      </c>
      <c r="E148" s="308" t="s">
        <v>531</v>
      </c>
      <c r="F148" s="307" t="s">
        <v>532</v>
      </c>
      <c r="G148" s="307"/>
      <c r="H148" s="308" t="s">
        <v>486</v>
      </c>
      <c r="I148" s="308" t="s">
        <v>486</v>
      </c>
      <c r="J148" s="229" t="s">
        <v>487</v>
      </c>
      <c r="K148" s="226">
        <v>44463</v>
      </c>
      <c r="L148" s="226">
        <v>44463</v>
      </c>
      <c r="M148" s="226" t="str">
        <f>IFERROR(IF(VLOOKUP(功能_33[[#This Row],[功能代號]],討論項目!A:H,8,FALSE)=0,"",VLOOKUP(功能_33[[#This Row],[功能代號]],討論項目!A:H,8,FALSE)),"")</f>
        <v/>
      </c>
      <c r="N148" s="308" t="s">
        <v>7</v>
      </c>
      <c r="O148" s="308" t="s">
        <v>11</v>
      </c>
      <c r="P148" s="277" t="s">
        <v>25</v>
      </c>
      <c r="T148" s="308"/>
      <c r="V148" s="308"/>
      <c r="W148" s="308"/>
      <c r="X148" s="307" t="str">
        <f>VLOOKUP(功能_33[[#This Row],[User]],SKL放款!A:G,7,FALSE)</f>
        <v>放款服務課</v>
      </c>
      <c r="Y148" s="228">
        <f>IF(功能_33[[#This Row],[實際展示]]="","",功能_33[[#This Row],[實際展示]]+14)</f>
        <v>44477</v>
      </c>
      <c r="Z148" s="226">
        <v>44477</v>
      </c>
      <c r="AA148" s="226">
        <f>IF(功能_33[[#This Row],[URS交二審]]=0,"",功能_33[[#This Row],[URS交二審]]+7)</f>
        <v>44484</v>
      </c>
      <c r="AB148" s="226">
        <f>IF(功能_33[[#This Row],[URS交二審]]=0,"",功能_33[[#This Row],[URS交二審]]+7)</f>
        <v>44484</v>
      </c>
      <c r="AC148" s="226">
        <v>44489</v>
      </c>
      <c r="AD148" s="226"/>
      <c r="AG148" s="226" t="str">
        <f>IFERROR(IF(VLOOKUP(功能_33[[#This Row],[功能代號]],E:Q,11,FALSE)=0,"",VLOOKUP(功能_33[[#This Row],[功能代號]],E:Q,11,FALSE)),"")</f>
        <v>蔡珮瑜</v>
      </c>
      <c r="AH148" s="226"/>
      <c r="AI148" s="226"/>
      <c r="AJ148" s="307"/>
      <c r="AN148" s="307" t="str">
        <f>VLOOKUP(功能_33[[#This Row],[功能代號]],工作表2!B:B,1,FALSE)</f>
        <v>L5711</v>
      </c>
    </row>
    <row r="149" spans="1:40" ht="14.25" hidden="1" customHeight="1">
      <c r="A149" s="224">
        <v>280</v>
      </c>
      <c r="B149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07" t="s">
        <v>105</v>
      </c>
      <c r="D149" s="307" t="s">
        <v>483</v>
      </c>
      <c r="E149" s="308" t="s">
        <v>533</v>
      </c>
      <c r="F149" s="307" t="s">
        <v>534</v>
      </c>
      <c r="G149" s="307"/>
      <c r="H149" s="308" t="s">
        <v>486</v>
      </c>
      <c r="I149" s="308" t="s">
        <v>486</v>
      </c>
      <c r="J149" s="229" t="s">
        <v>487</v>
      </c>
      <c r="K149" s="226">
        <v>44466</v>
      </c>
      <c r="L149" s="226">
        <v>44463</v>
      </c>
      <c r="M149" s="226" t="str">
        <f>IFERROR(IF(VLOOKUP(功能_33[[#This Row],[功能代號]],討論項目!A:H,8,FALSE)=0,"",VLOOKUP(功能_33[[#This Row],[功能代號]],討論項目!A:H,8,FALSE)),"")</f>
        <v/>
      </c>
      <c r="N149" s="308" t="s">
        <v>7</v>
      </c>
      <c r="O149" s="308" t="s">
        <v>11</v>
      </c>
      <c r="P149" s="277" t="s">
        <v>25</v>
      </c>
      <c r="T149" s="308"/>
      <c r="V149" s="308"/>
      <c r="W149" s="308"/>
      <c r="X149" s="307" t="str">
        <f>VLOOKUP(功能_33[[#This Row],[User]],SKL放款!A:G,7,FALSE)</f>
        <v>放款服務課</v>
      </c>
      <c r="Y149" s="228">
        <f>IF(功能_33[[#This Row],[實際展示]]="","",功能_33[[#This Row],[實際展示]]+14)</f>
        <v>44477</v>
      </c>
      <c r="Z149" s="226">
        <v>44477</v>
      </c>
      <c r="AA149" s="226">
        <f>IF(功能_33[[#This Row],[URS交二審]]=0,"",功能_33[[#This Row],[URS交二審]]+7)</f>
        <v>44484</v>
      </c>
      <c r="AB149" s="226">
        <f>IF(功能_33[[#This Row],[URS交二審]]=0,"",功能_33[[#This Row],[URS交二審]]+7)</f>
        <v>44484</v>
      </c>
      <c r="AC149" s="226">
        <v>44489</v>
      </c>
      <c r="AD149" s="226"/>
      <c r="AG149" s="226" t="str">
        <f>IFERROR(IF(VLOOKUP(功能_33[[#This Row],[功能代號]],E:Q,11,FALSE)=0,"",VLOOKUP(功能_33[[#This Row],[功能代號]],E:Q,11,FALSE)),"")</f>
        <v>蔡珮瑜</v>
      </c>
      <c r="AH149" s="226"/>
      <c r="AI149" s="226"/>
      <c r="AJ149" s="307"/>
      <c r="AK149" s="226"/>
      <c r="AN149" s="307" t="e">
        <f>VLOOKUP(功能_33[[#This Row],[功能代號]],工作表2!B:B,1,FALSE)</f>
        <v>#N/A</v>
      </c>
    </row>
    <row r="150" spans="1:40" ht="14.25" hidden="1" customHeight="1">
      <c r="A150" s="224">
        <v>281</v>
      </c>
      <c r="B15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0" s="307" t="s">
        <v>105</v>
      </c>
      <c r="D150" s="307" t="s">
        <v>483</v>
      </c>
      <c r="E150" s="308" t="s">
        <v>535</v>
      </c>
      <c r="F150" s="307" t="s">
        <v>536</v>
      </c>
      <c r="G150" s="307"/>
      <c r="H150" s="308" t="s">
        <v>486</v>
      </c>
      <c r="I150" s="308" t="s">
        <v>486</v>
      </c>
      <c r="J150" s="229" t="s">
        <v>487</v>
      </c>
      <c r="K150" s="226">
        <v>44466</v>
      </c>
      <c r="L150" s="226">
        <v>44463</v>
      </c>
      <c r="M150" s="226">
        <f>IFERROR(IF(VLOOKUP(功能_33[[#This Row],[功能代號]],討論項目!A:H,8,FALSE)=0,"",VLOOKUP(功能_33[[#This Row],[功能代號]],討論項目!A:H,8,FALSE)),"")</f>
        <v>44473</v>
      </c>
      <c r="N150" s="308" t="s">
        <v>7</v>
      </c>
      <c r="O150" s="308" t="s">
        <v>11</v>
      </c>
      <c r="P150" s="277" t="s">
        <v>25</v>
      </c>
      <c r="T150" s="308"/>
      <c r="V150" s="308"/>
      <c r="W150" s="308"/>
      <c r="X150" s="307" t="str">
        <f>VLOOKUP(功能_33[[#This Row],[User]],SKL放款!A:G,7,FALSE)</f>
        <v>放款服務課</v>
      </c>
      <c r="Y150" s="228">
        <f>IF(功能_33[[#This Row],[實際展示]]="","",功能_33[[#This Row],[實際展示]]+14)</f>
        <v>44477</v>
      </c>
      <c r="Z150" s="226">
        <v>44477</v>
      </c>
      <c r="AA150" s="226">
        <f>IF(功能_33[[#This Row],[URS交二審]]=0,"",功能_33[[#This Row],[URS交二審]]+7)</f>
        <v>44484</v>
      </c>
      <c r="AB150" s="226">
        <f>IF(功能_33[[#This Row],[URS交二審]]=0,"",功能_33[[#This Row],[URS交二審]]+7)</f>
        <v>44484</v>
      </c>
      <c r="AC150" s="226">
        <v>44489</v>
      </c>
      <c r="AD150" s="226"/>
      <c r="AG150" s="226" t="str">
        <f>IFERROR(IF(VLOOKUP(功能_33[[#This Row],[功能代號]],E:Q,11,FALSE)=0,"",VLOOKUP(功能_33[[#This Row],[功能代號]],E:Q,11,FALSE)),"")</f>
        <v>蔡珮瑜</v>
      </c>
      <c r="AH150" s="226"/>
      <c r="AI150" s="226"/>
      <c r="AJ150" s="307"/>
      <c r="AK150" s="226"/>
      <c r="AN150" s="307" t="str">
        <f>VLOOKUP(功能_33[[#This Row],[功能代號]],工作表2!B:B,1,FALSE)</f>
        <v>L5709</v>
      </c>
    </row>
    <row r="151" spans="1:40" ht="14.25" hidden="1" customHeight="1">
      <c r="A151" s="224">
        <v>293</v>
      </c>
      <c r="B151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307" t="s">
        <v>105</v>
      </c>
      <c r="D151" s="307" t="s">
        <v>483</v>
      </c>
      <c r="E151" s="308" t="s">
        <v>537</v>
      </c>
      <c r="F151" s="307" t="s">
        <v>538</v>
      </c>
      <c r="G151" s="307"/>
      <c r="H151" s="308" t="s">
        <v>486</v>
      </c>
      <c r="I151" s="308" t="s">
        <v>486</v>
      </c>
      <c r="J151" s="229" t="s">
        <v>487</v>
      </c>
      <c r="K151" s="226">
        <v>44466</v>
      </c>
      <c r="L151" s="226">
        <v>44463</v>
      </c>
      <c r="M151" s="226">
        <f>IFERROR(IF(VLOOKUP(功能_33[[#This Row],[功能代號]],討論項目!A:H,8,FALSE)=0,"",VLOOKUP(功能_33[[#This Row],[功能代號]],討論項目!A:H,8,FALSE)),"")</f>
        <v>44473</v>
      </c>
      <c r="N151" s="308" t="s">
        <v>7</v>
      </c>
      <c r="O151" s="308" t="s">
        <v>11</v>
      </c>
      <c r="P151" s="277" t="s">
        <v>25</v>
      </c>
      <c r="T151" s="308"/>
      <c r="V151" s="308"/>
      <c r="W151" s="308"/>
      <c r="X151" s="307" t="str">
        <f>VLOOKUP(功能_33[[#This Row],[User]],SKL放款!A:G,7,FALSE)</f>
        <v>放款服務課</v>
      </c>
      <c r="Y151" s="228">
        <f>IF(功能_33[[#This Row],[實際展示]]="","",功能_33[[#This Row],[實際展示]]+14)</f>
        <v>44477</v>
      </c>
      <c r="Z151" s="226">
        <v>44477</v>
      </c>
      <c r="AA151" s="226">
        <f>IF(功能_33[[#This Row],[URS交二審]]=0,"",功能_33[[#This Row],[URS交二審]]+7)</f>
        <v>44484</v>
      </c>
      <c r="AB151" s="226">
        <f>IF(功能_33[[#This Row],[URS交二審]]=0,"",功能_33[[#This Row],[URS交二審]]+7)</f>
        <v>44484</v>
      </c>
      <c r="AC151" s="226">
        <v>44489</v>
      </c>
      <c r="AD151" s="226"/>
      <c r="AG151" s="226" t="str">
        <f>IFERROR(IF(VLOOKUP(功能_33[[#This Row],[功能代號]],E:Q,11,FALSE)=0,"",VLOOKUP(功能_33[[#This Row],[功能代號]],E:Q,11,FALSE)),"")</f>
        <v>蔡珮瑜</v>
      </c>
      <c r="AH151" s="226"/>
      <c r="AI151" s="226"/>
      <c r="AJ151" s="307"/>
      <c r="AK151" s="226"/>
      <c r="AN151" s="307" t="str">
        <f>VLOOKUP(功能_33[[#This Row],[功能代號]],工作表2!B:B,1,FALSE)</f>
        <v>L5710</v>
      </c>
    </row>
    <row r="152" spans="1:40" ht="14.25" customHeight="1">
      <c r="A152" s="224">
        <v>356</v>
      </c>
      <c r="B152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2" s="307" t="s">
        <v>106</v>
      </c>
      <c r="D152" s="307"/>
      <c r="E152" s="308" t="s">
        <v>539</v>
      </c>
      <c r="F152" s="307" t="s">
        <v>540</v>
      </c>
      <c r="G152" s="307"/>
      <c r="H152" s="308" t="s">
        <v>203</v>
      </c>
      <c r="I152" s="308" t="s">
        <v>330</v>
      </c>
      <c r="J152" s="229" t="s">
        <v>2844</v>
      </c>
      <c r="K152" s="226">
        <v>44515</v>
      </c>
      <c r="L152" s="226">
        <v>44466</v>
      </c>
      <c r="M152" s="226">
        <f>IFERROR(IF(VLOOKUP(功能_33[[#This Row],[功能代號]],討論項目!A:H,8,FALSE)=0,"",VLOOKUP(功能_33[[#This Row],[功能代號]],討論項目!A:H,8,FALSE)),"")</f>
        <v>44475</v>
      </c>
      <c r="N152" s="308" t="s">
        <v>12</v>
      </c>
      <c r="O152" s="308" t="s">
        <v>13</v>
      </c>
      <c r="P152" s="277" t="s">
        <v>541</v>
      </c>
      <c r="T152" s="308"/>
      <c r="V152" s="308"/>
      <c r="W152" s="308"/>
      <c r="X152" s="307" t="str">
        <f>VLOOKUP(功能_33[[#This Row],[User]],SKL放款!A:G,7,FALSE)</f>
        <v>放款推展課</v>
      </c>
      <c r="Y152" s="228">
        <f>IF(功能_33[[#This Row],[實際展示]]="","",功能_33[[#This Row],[實際展示]]+14)</f>
        <v>44480</v>
      </c>
      <c r="Z152" s="226" t="s">
        <v>2808</v>
      </c>
      <c r="AA152" s="226"/>
      <c r="AB152" s="226"/>
      <c r="AC152" s="226"/>
      <c r="AD152" s="226"/>
      <c r="AE152" s="226"/>
      <c r="AF152" s="355"/>
      <c r="AG152" s="226" t="str">
        <f>IFERROR(IF(VLOOKUP(功能_33[[#This Row],[功能代號]],E:Q,11,FALSE)=0,"",VLOOKUP(功能_33[[#This Row],[功能代號]],E:Q,11,FALSE)),"")</f>
        <v>李珮君</v>
      </c>
      <c r="AH152" s="226"/>
      <c r="AI152" s="226"/>
      <c r="AJ152" s="307"/>
      <c r="AK152" s="226"/>
      <c r="AL152" s="410" t="s">
        <v>542</v>
      </c>
      <c r="AM152" s="411" t="s">
        <v>543</v>
      </c>
      <c r="AN152" s="307" t="str">
        <f>VLOOKUP(功能_33[[#This Row],[功能代號]],工作表2!B:B,1,FALSE)</f>
        <v>L6085</v>
      </c>
    </row>
    <row r="153" spans="1:40" ht="14.25" customHeight="1">
      <c r="A153" s="224">
        <v>357</v>
      </c>
      <c r="B1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307" t="s">
        <v>106</v>
      </c>
      <c r="D153" s="307"/>
      <c r="E153" s="308" t="s">
        <v>544</v>
      </c>
      <c r="F153" s="307" t="s">
        <v>545</v>
      </c>
      <c r="G153" s="307"/>
      <c r="H153" s="308" t="s">
        <v>203</v>
      </c>
      <c r="I153" s="308" t="s">
        <v>330</v>
      </c>
      <c r="J153" s="229" t="s">
        <v>2843</v>
      </c>
      <c r="K153" s="226">
        <v>44515</v>
      </c>
      <c r="L153" s="226">
        <v>44466</v>
      </c>
      <c r="M153" s="226">
        <f>IFERROR(IF(VLOOKUP(功能_33[[#This Row],[功能代號]],討論項目!A:H,8,FALSE)=0,"",VLOOKUP(功能_33[[#This Row],[功能代號]],討論項目!A:H,8,FALSE)),"")</f>
        <v>44475</v>
      </c>
      <c r="N153" s="308" t="s">
        <v>12</v>
      </c>
      <c r="O153" s="308" t="s">
        <v>13</v>
      </c>
      <c r="P153" s="277" t="s">
        <v>541</v>
      </c>
      <c r="T153" s="308"/>
      <c r="V153" s="308"/>
      <c r="W153" s="308"/>
      <c r="X153" s="307" t="str">
        <f>VLOOKUP(功能_33[[#This Row],[User]],SKL放款!A:G,7,FALSE)</f>
        <v>放款推展課</v>
      </c>
      <c r="Y153" s="228">
        <f>IF(功能_33[[#This Row],[實際展示]]="","",功能_33[[#This Row],[實際展示]]+14)</f>
        <v>44480</v>
      </c>
      <c r="Z153" s="226" t="s">
        <v>2808</v>
      </c>
      <c r="AA153" s="226"/>
      <c r="AB153" s="226"/>
      <c r="AC153" s="226"/>
      <c r="AD153" s="226"/>
      <c r="AE153" s="226"/>
      <c r="AF153" s="355"/>
      <c r="AG153" s="226" t="str">
        <f>IFERROR(IF(VLOOKUP(功能_33[[#This Row],[功能代號]],E:Q,11,FALSE)=0,"",VLOOKUP(功能_33[[#This Row],[功能代號]],E:Q,11,FALSE)),"")</f>
        <v>李珮君</v>
      </c>
      <c r="AH153" s="226"/>
      <c r="AI153" s="226"/>
      <c r="AJ153" s="307"/>
      <c r="AK153" s="226"/>
      <c r="AL153" s="410" t="s">
        <v>542</v>
      </c>
      <c r="AM153" s="411" t="s">
        <v>543</v>
      </c>
      <c r="AN153" s="307" t="str">
        <f>VLOOKUP(功能_33[[#This Row],[功能代號]],工作表2!B:B,1,FALSE)</f>
        <v>L6755</v>
      </c>
    </row>
    <row r="154" spans="1:40" ht="14.25" customHeight="1">
      <c r="A154" s="224">
        <v>358</v>
      </c>
      <c r="B154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307" t="s">
        <v>106</v>
      </c>
      <c r="D154" s="307"/>
      <c r="E154" s="308" t="s">
        <v>546</v>
      </c>
      <c r="F154" s="307" t="s">
        <v>547</v>
      </c>
      <c r="G154" s="307"/>
      <c r="H154" s="308" t="s">
        <v>203</v>
      </c>
      <c r="I154" s="308" t="s">
        <v>330</v>
      </c>
      <c r="J154" s="229" t="s">
        <v>2843</v>
      </c>
      <c r="K154" s="226">
        <v>44515</v>
      </c>
      <c r="L154" s="226">
        <v>44466</v>
      </c>
      <c r="M154" s="226">
        <f>IFERROR(IF(VLOOKUP(功能_33[[#This Row],[功能代號]],討論項目!A:H,8,FALSE)=0,"",VLOOKUP(功能_33[[#This Row],[功能代號]],討論項目!A:H,8,FALSE)),"")</f>
        <v>44475</v>
      </c>
      <c r="N154" s="308" t="s">
        <v>12</v>
      </c>
      <c r="O154" s="308" t="s">
        <v>13</v>
      </c>
      <c r="P154" s="277" t="s">
        <v>541</v>
      </c>
      <c r="T154" s="308"/>
      <c r="V154" s="308"/>
      <c r="W154" s="308"/>
      <c r="X154" s="307" t="str">
        <f>VLOOKUP(功能_33[[#This Row],[User]],SKL放款!A:G,7,FALSE)</f>
        <v>放款推展課</v>
      </c>
      <c r="Y154" s="228">
        <f>IF(功能_33[[#This Row],[實際展示]]="","",功能_33[[#This Row],[實際展示]]+14)</f>
        <v>44480</v>
      </c>
      <c r="Z154" s="226" t="s">
        <v>2808</v>
      </c>
      <c r="AA154" s="226"/>
      <c r="AB154" s="226"/>
      <c r="AC154" s="226"/>
      <c r="AD154" s="226"/>
      <c r="AE154" s="226"/>
      <c r="AF154" s="355"/>
      <c r="AG154" s="226" t="str">
        <f>IFERROR(IF(VLOOKUP(功能_33[[#This Row],[功能代號]],E:Q,11,FALSE)=0,"",VLOOKUP(功能_33[[#This Row],[功能代號]],E:Q,11,FALSE)),"")</f>
        <v>李珮君</v>
      </c>
      <c r="AH154" s="226"/>
      <c r="AI154" s="226"/>
      <c r="AJ154" s="307"/>
      <c r="AK154" s="226"/>
      <c r="AL154" s="308" t="s">
        <v>2848</v>
      </c>
      <c r="AN154" s="307" t="str">
        <f>VLOOKUP(功能_33[[#This Row],[功能代號]],工作表2!B:B,1,FALSE)</f>
        <v>L6086</v>
      </c>
    </row>
    <row r="155" spans="1:40" ht="14.25" customHeight="1">
      <c r="A155" s="224">
        <v>313</v>
      </c>
      <c r="B155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5" s="307" t="s">
        <v>106</v>
      </c>
      <c r="D155" s="307"/>
      <c r="E155" s="308" t="s">
        <v>548</v>
      </c>
      <c r="F155" s="307" t="s">
        <v>549</v>
      </c>
      <c r="G155" s="307"/>
      <c r="H155" s="308" t="s">
        <v>203</v>
      </c>
      <c r="I155" s="308" t="s">
        <v>330</v>
      </c>
      <c r="J155" s="229" t="s">
        <v>2843</v>
      </c>
      <c r="K155" s="226">
        <v>44515</v>
      </c>
      <c r="L155" s="226">
        <v>44466</v>
      </c>
      <c r="M155" s="226">
        <f>IFERROR(IF(VLOOKUP(功能_33[[#This Row],[功能代號]],討論項目!A:H,8,FALSE)=0,"",VLOOKUP(功能_33[[#This Row],[功能代號]],討論項目!A:H,8,FALSE)),"")</f>
        <v>44475</v>
      </c>
      <c r="N155" s="308" t="s">
        <v>12</v>
      </c>
      <c r="O155" s="308" t="s">
        <v>24</v>
      </c>
      <c r="T155" s="308"/>
      <c r="V155" s="308"/>
      <c r="W155" s="308"/>
      <c r="X155" s="307" t="str">
        <f>VLOOKUP(功能_33[[#This Row],[User]],SKL放款!A:G,7,FALSE)</f>
        <v>放款服務課</v>
      </c>
      <c r="Y155" s="228">
        <f>IF(功能_33[[#This Row],[實際展示]]="","",功能_33[[#This Row],[實際展示]]+14)</f>
        <v>44480</v>
      </c>
      <c r="Z155" s="226" t="s">
        <v>2808</v>
      </c>
      <c r="AA155" s="226"/>
      <c r="AB155" s="226"/>
      <c r="AC155" s="226"/>
      <c r="AD155" s="226"/>
      <c r="AE155" s="226"/>
      <c r="AF155" s="355"/>
      <c r="AG155" s="226" t="str">
        <f>IFERROR(IF(VLOOKUP(功能_33[[#This Row],[功能代號]],E:Q,11,FALSE)=0,"",VLOOKUP(功能_33[[#This Row],[功能代號]],E:Q,11,FALSE)),"")</f>
        <v>邵淑微</v>
      </c>
      <c r="AH155" s="226"/>
      <c r="AI155" s="226"/>
      <c r="AJ155" s="307"/>
      <c r="AK155" s="226"/>
      <c r="AL155" s="308" t="s">
        <v>2848</v>
      </c>
      <c r="AN155" s="307" t="str">
        <f>VLOOKUP(功能_33[[#This Row],[功能代號]],工作表2!B:B,1,FALSE)</f>
        <v>L6030</v>
      </c>
    </row>
    <row r="156" spans="1:40" ht="14.25" customHeight="1">
      <c r="A156" s="224">
        <v>314</v>
      </c>
      <c r="B1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6" s="307" t="s">
        <v>106</v>
      </c>
      <c r="D156" s="307"/>
      <c r="E156" s="308" t="s">
        <v>550</v>
      </c>
      <c r="F156" s="307" t="s">
        <v>551</v>
      </c>
      <c r="G156" s="307"/>
      <c r="H156" s="308" t="s">
        <v>203</v>
      </c>
      <c r="I156" s="308" t="s">
        <v>330</v>
      </c>
      <c r="J156" s="229" t="s">
        <v>2843</v>
      </c>
      <c r="K156" s="226">
        <v>44515</v>
      </c>
      <c r="L156" s="226">
        <v>44466</v>
      </c>
      <c r="M156" s="226" t="str">
        <f>IFERROR(IF(VLOOKUP(功能_33[[#This Row],[功能代號]],討論項目!A:H,8,FALSE)=0,"",VLOOKUP(功能_33[[#This Row],[功能代號]],討論項目!A:H,8,FALSE)),"")</f>
        <v/>
      </c>
      <c r="N156" s="308" t="s">
        <v>12</v>
      </c>
      <c r="O156" s="308" t="s">
        <v>24</v>
      </c>
      <c r="T156" s="308"/>
      <c r="V156" s="308"/>
      <c r="W156" s="308"/>
      <c r="X156" s="307" t="str">
        <f>VLOOKUP(功能_33[[#This Row],[User]],SKL放款!A:G,7,FALSE)</f>
        <v>放款服務課</v>
      </c>
      <c r="Y156" s="228">
        <f>IF(功能_33[[#This Row],[實際展示]]="","",功能_33[[#This Row],[實際展示]]+14)</f>
        <v>44480</v>
      </c>
      <c r="Z156" s="226" t="s">
        <v>2809</v>
      </c>
      <c r="AA156" s="226" t="e">
        <f>IF(功能_33[[#This Row],[URS交二審]]=0,"",功能_33[[#This Row],[URS交二審]]+7)</f>
        <v>#VALUE!</v>
      </c>
      <c r="AB156" s="226"/>
      <c r="AC156" s="226"/>
      <c r="AD156" s="226"/>
      <c r="AE156" s="226"/>
      <c r="AF156" s="355"/>
      <c r="AG156" s="226" t="str">
        <f>IFERROR(IF(VLOOKUP(功能_33[[#This Row],[功能代號]],E:Q,11,FALSE)=0,"",VLOOKUP(功能_33[[#This Row],[功能代號]],E:Q,11,FALSE)),"")</f>
        <v>邵淑微</v>
      </c>
      <c r="AH156" s="226"/>
      <c r="AI156" s="226"/>
      <c r="AJ156" s="307"/>
      <c r="AK156" s="226"/>
      <c r="AL156" s="308" t="s">
        <v>2848</v>
      </c>
      <c r="AN156" s="307" t="e">
        <f>VLOOKUP(功能_33[[#This Row],[功能代號]],工作表2!B:B,1,FALSE)</f>
        <v>#N/A</v>
      </c>
    </row>
    <row r="157" spans="1:40" ht="14.25" customHeight="1">
      <c r="A157" s="224">
        <v>332</v>
      </c>
      <c r="B15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7" s="307" t="s">
        <v>106</v>
      </c>
      <c r="D157" s="307"/>
      <c r="E157" s="308" t="s">
        <v>552</v>
      </c>
      <c r="F157" s="307" t="s">
        <v>553</v>
      </c>
      <c r="G157" s="307"/>
      <c r="H157" s="308" t="s">
        <v>203</v>
      </c>
      <c r="I157" s="308" t="s">
        <v>330</v>
      </c>
      <c r="J157" s="229" t="s">
        <v>2843</v>
      </c>
      <c r="K157" s="226">
        <v>44515</v>
      </c>
      <c r="L157" s="226">
        <v>44466</v>
      </c>
      <c r="M157" s="226">
        <f>IFERROR(IF(VLOOKUP(功能_33[[#This Row],[功能代號]],討論項目!A:H,8,FALSE)=0,"",VLOOKUP(功能_33[[#This Row],[功能代號]],討論項目!A:H,8,FALSE)),"")</f>
        <v>44475</v>
      </c>
      <c r="N157" s="308" t="s">
        <v>8</v>
      </c>
      <c r="O157" s="308" t="s">
        <v>180</v>
      </c>
      <c r="T157" s="308"/>
      <c r="V157" s="308"/>
      <c r="W157" s="308"/>
      <c r="X157" s="307" t="str">
        <f>VLOOKUP(功能_33[[#This Row],[User]],SKL放款!A:G,7,FALSE)</f>
        <v>放款服務課</v>
      </c>
      <c r="Y157" s="228">
        <f>IF(功能_33[[#This Row],[實際展示]]="","",功能_33[[#This Row],[實際展示]]+14)</f>
        <v>44480</v>
      </c>
      <c r="Z157" s="226" t="s">
        <v>2808</v>
      </c>
      <c r="AA157" s="226"/>
      <c r="AB157" s="226"/>
      <c r="AC157" s="226"/>
      <c r="AD157" s="226"/>
      <c r="AE157" s="226"/>
      <c r="AF157" s="355"/>
      <c r="AG157" s="226" t="str">
        <f>IFERROR(IF(VLOOKUP(功能_33[[#This Row],[功能代號]],E:Q,11,FALSE)=0,"",VLOOKUP(功能_33[[#This Row],[功能代號]],E:Q,11,FALSE)),"")</f>
        <v>陳政皓</v>
      </c>
      <c r="AH157" s="226"/>
      <c r="AI157" s="226"/>
      <c r="AJ157" s="307"/>
      <c r="AK157" s="226"/>
      <c r="AL157" s="308" t="s">
        <v>2848</v>
      </c>
      <c r="AN157" s="307" t="str">
        <f>VLOOKUP(功能_33[[#This Row],[功能代號]],工作表2!B:B,1,FALSE)</f>
        <v>L6064</v>
      </c>
    </row>
    <row r="158" spans="1:40" ht="14.25" customHeight="1">
      <c r="A158" s="224">
        <v>333</v>
      </c>
      <c r="B1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07" t="s">
        <v>106</v>
      </c>
      <c r="D158" s="307"/>
      <c r="E158" s="308" t="s">
        <v>554</v>
      </c>
      <c r="F158" s="307" t="s">
        <v>555</v>
      </c>
      <c r="G158" s="307"/>
      <c r="H158" s="308" t="s">
        <v>203</v>
      </c>
      <c r="I158" s="308" t="s">
        <v>330</v>
      </c>
      <c r="J158" s="229" t="s">
        <v>2843</v>
      </c>
      <c r="K158" s="226">
        <v>44515</v>
      </c>
      <c r="L158" s="226">
        <v>44466</v>
      </c>
      <c r="M158" s="226">
        <f>IFERROR(IF(VLOOKUP(功能_33[[#This Row],[功能代號]],討論項目!A:H,8,FALSE)=0,"",VLOOKUP(功能_33[[#This Row],[功能代號]],討論項目!A:H,8,FALSE)),"")</f>
        <v>44475</v>
      </c>
      <c r="N158" s="308" t="s">
        <v>8</v>
      </c>
      <c r="O158" s="308" t="s">
        <v>180</v>
      </c>
      <c r="T158" s="308"/>
      <c r="V158" s="308"/>
      <c r="W158" s="308"/>
      <c r="X158" s="307" t="str">
        <f>VLOOKUP(功能_33[[#This Row],[User]],SKL放款!A:G,7,FALSE)</f>
        <v>放款服務課</v>
      </c>
      <c r="Y158" s="228">
        <f>IF(功能_33[[#This Row],[實際展示]]="","",功能_33[[#This Row],[實際展示]]+14)</f>
        <v>44480</v>
      </c>
      <c r="Z158" s="226" t="s">
        <v>2808</v>
      </c>
      <c r="AA158" s="226"/>
      <c r="AB158" s="226"/>
      <c r="AC158" s="226"/>
      <c r="AD158" s="226"/>
      <c r="AE158" s="226"/>
      <c r="AF158" s="355"/>
      <c r="AG158" s="226" t="str">
        <f>IFERROR(IF(VLOOKUP(功能_33[[#This Row],[功能代號]],E:Q,11,FALSE)=0,"",VLOOKUP(功能_33[[#This Row],[功能代號]],E:Q,11,FALSE)),"")</f>
        <v>陳政皓</v>
      </c>
      <c r="AH158" s="226"/>
      <c r="AI158" s="226"/>
      <c r="AJ158" s="307"/>
      <c r="AK158" s="226"/>
      <c r="AL158" s="308" t="s">
        <v>2848</v>
      </c>
      <c r="AN158" s="307" t="str">
        <f>VLOOKUP(功能_33[[#This Row],[功能代號]],工作表2!B:B,1,FALSE)</f>
        <v>L6604</v>
      </c>
    </row>
    <row r="159" spans="1:40" ht="14.25" customHeight="1">
      <c r="A159" s="224">
        <v>328</v>
      </c>
      <c r="B159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307" t="s">
        <v>106</v>
      </c>
      <c r="D159" s="307"/>
      <c r="E159" s="308" t="s">
        <v>556</v>
      </c>
      <c r="F159" s="307" t="s">
        <v>557</v>
      </c>
      <c r="G159" s="307"/>
      <c r="H159" s="308" t="s">
        <v>203</v>
      </c>
      <c r="I159" s="308" t="s">
        <v>330</v>
      </c>
      <c r="J159" s="229" t="s">
        <v>2843</v>
      </c>
      <c r="K159" s="226">
        <v>44515</v>
      </c>
      <c r="L159" s="226">
        <v>44466</v>
      </c>
      <c r="M159" s="226" t="str">
        <f>IFERROR(IF(VLOOKUP(功能_33[[#This Row],[功能代號]],討論項目!A:H,8,FALSE)=0,"",VLOOKUP(功能_33[[#This Row],[功能代號]],討論項目!A:H,8,FALSE)),"")</f>
        <v/>
      </c>
      <c r="N159" s="308" t="s">
        <v>12</v>
      </c>
      <c r="O159" s="308" t="s">
        <v>11</v>
      </c>
      <c r="T159" s="308"/>
      <c r="V159" s="308"/>
      <c r="W159" s="308"/>
      <c r="X159" s="307" t="str">
        <f>VLOOKUP(功能_33[[#This Row],[User]],SKL放款!A:G,7,FALSE)</f>
        <v>放款服務課</v>
      </c>
      <c r="Y159" s="228">
        <f>IF(功能_33[[#This Row],[實際展示]]="","",功能_33[[#This Row],[實際展示]]+14)</f>
        <v>44480</v>
      </c>
      <c r="Z159" s="226" t="s">
        <v>2809</v>
      </c>
      <c r="AA159" s="226" t="e">
        <f>IF(功能_33[[#This Row],[URS交二審]]=0,"",功能_33[[#This Row],[URS交二審]]+7)</f>
        <v>#VALUE!</v>
      </c>
      <c r="AB159" s="226"/>
      <c r="AC159" s="226"/>
      <c r="AD159" s="226"/>
      <c r="AE159" s="226"/>
      <c r="AF159" s="355"/>
      <c r="AG159" s="226" t="str">
        <f>IFERROR(IF(VLOOKUP(功能_33[[#This Row],[功能代號]],E:Q,11,FALSE)=0,"",VLOOKUP(功能_33[[#This Row],[功能代號]],E:Q,11,FALSE)),"")</f>
        <v>蔡珮瑜</v>
      </c>
      <c r="AH159" s="226"/>
      <c r="AI159" s="226"/>
      <c r="AJ159" s="307"/>
      <c r="AK159" s="226"/>
      <c r="AL159" s="410" t="s">
        <v>558</v>
      </c>
      <c r="AM159" s="411" t="s">
        <v>559</v>
      </c>
      <c r="AN159" s="307" t="e">
        <f>VLOOKUP(功能_33[[#This Row],[功能代號]],工作表2!B:B,1,FALSE)</f>
        <v>#N/A</v>
      </c>
    </row>
    <row r="160" spans="1:40" ht="14.25" customHeight="1">
      <c r="A160" s="224">
        <v>329</v>
      </c>
      <c r="B1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07" t="s">
        <v>106</v>
      </c>
      <c r="D160" s="307"/>
      <c r="E160" s="308" t="s">
        <v>560</v>
      </c>
      <c r="F160" s="307" t="s">
        <v>561</v>
      </c>
      <c r="G160" s="307"/>
      <c r="H160" s="308" t="s">
        <v>203</v>
      </c>
      <c r="I160" s="308" t="s">
        <v>330</v>
      </c>
      <c r="J160" s="229" t="s">
        <v>2843</v>
      </c>
      <c r="K160" s="226">
        <v>44515</v>
      </c>
      <c r="L160" s="226">
        <v>44466</v>
      </c>
      <c r="M160" s="226" t="str">
        <f>IFERROR(IF(VLOOKUP(功能_33[[#This Row],[功能代號]],討論項目!A:H,8,FALSE)=0,"",VLOOKUP(功能_33[[#This Row],[功能代號]],討論項目!A:H,8,FALSE)),"")</f>
        <v/>
      </c>
      <c r="N160" s="308" t="s">
        <v>12</v>
      </c>
      <c r="O160" s="308" t="s">
        <v>11</v>
      </c>
      <c r="T160" s="308"/>
      <c r="V160" s="308"/>
      <c r="W160" s="308"/>
      <c r="X160" s="307" t="str">
        <f>VLOOKUP(功能_33[[#This Row],[User]],SKL放款!A:G,7,FALSE)</f>
        <v>放款服務課</v>
      </c>
      <c r="Y160" s="228">
        <f>IF(功能_33[[#This Row],[實際展示]]="","",功能_33[[#This Row],[實際展示]]+14)</f>
        <v>44480</v>
      </c>
      <c r="Z160" s="226" t="s">
        <v>2809</v>
      </c>
      <c r="AA160" s="226" t="e">
        <f>IF(功能_33[[#This Row],[URS交二審]]=0,"",功能_33[[#This Row],[URS交二審]]+7)</f>
        <v>#VALUE!</v>
      </c>
      <c r="AB160" s="226"/>
      <c r="AC160" s="226"/>
      <c r="AD160" s="226"/>
      <c r="AE160" s="226"/>
      <c r="AF160" s="355"/>
      <c r="AG160" s="226" t="str">
        <f>IFERROR(IF(VLOOKUP(功能_33[[#This Row],[功能代號]],E:Q,11,FALSE)=0,"",VLOOKUP(功能_33[[#This Row],[功能代號]],E:Q,11,FALSE)),"")</f>
        <v>蔡珮瑜</v>
      </c>
      <c r="AH160" s="226"/>
      <c r="AI160" s="226"/>
      <c r="AJ160" s="307"/>
      <c r="AK160" s="226"/>
      <c r="AL160" s="410" t="s">
        <v>558</v>
      </c>
      <c r="AM160" s="411" t="s">
        <v>559</v>
      </c>
      <c r="AN160" s="307" t="e">
        <f>VLOOKUP(功能_33[[#This Row],[功能代號]],工作表2!B:B,1,FALSE)</f>
        <v>#N/A</v>
      </c>
    </row>
    <row r="161" spans="1:40" ht="14.25" customHeight="1">
      <c r="A161" s="224">
        <v>350</v>
      </c>
      <c r="B16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1" s="307" t="s">
        <v>106</v>
      </c>
      <c r="D161" s="307"/>
      <c r="E161" s="308" t="s">
        <v>562</v>
      </c>
      <c r="F161" s="307" t="s">
        <v>563</v>
      </c>
      <c r="G161" s="307"/>
      <c r="H161" s="308" t="s">
        <v>203</v>
      </c>
      <c r="I161" s="308" t="s">
        <v>330</v>
      </c>
      <c r="J161" s="229" t="s">
        <v>2843</v>
      </c>
      <c r="K161" s="226">
        <v>44515</v>
      </c>
      <c r="L161" s="226">
        <v>44466</v>
      </c>
      <c r="M161" s="226" t="str">
        <f>IFERROR(IF(VLOOKUP(功能_33[[#This Row],[功能代號]],討論項目!A:H,8,FALSE)=0,"",VLOOKUP(功能_33[[#This Row],[功能代號]],討論項目!A:H,8,FALSE)),"")</f>
        <v/>
      </c>
      <c r="N161" s="308" t="s">
        <v>12</v>
      </c>
      <c r="O161" s="308" t="s">
        <v>11</v>
      </c>
      <c r="T161" s="308"/>
      <c r="V161" s="308"/>
      <c r="W161" s="308"/>
      <c r="X161" s="307" t="str">
        <f>VLOOKUP(功能_33[[#This Row],[User]],SKL放款!A:G,7,FALSE)</f>
        <v>放款服務課</v>
      </c>
      <c r="Y161" s="228">
        <f>IF(功能_33[[#This Row],[實際展示]]="","",功能_33[[#This Row],[實際展示]]+14)</f>
        <v>44480</v>
      </c>
      <c r="Z161" s="226" t="s">
        <v>2809</v>
      </c>
      <c r="AA161" s="226" t="e">
        <f>IF(功能_33[[#This Row],[URS交二審]]=0,"",功能_33[[#This Row],[URS交二審]]+7)</f>
        <v>#VALUE!</v>
      </c>
      <c r="AB161" s="226"/>
      <c r="AC161" s="226"/>
      <c r="AD161" s="226"/>
      <c r="AE161" s="226"/>
      <c r="AF161" s="355"/>
      <c r="AG161" s="226" t="str">
        <f>IFERROR(IF(VLOOKUP(功能_33[[#This Row],[功能代號]],E:Q,11,FALSE)=0,"",VLOOKUP(功能_33[[#This Row],[功能代號]],E:Q,11,FALSE)),"")</f>
        <v>蔡珮瑜</v>
      </c>
      <c r="AH161" s="226"/>
      <c r="AI161" s="226"/>
      <c r="AJ161" s="307"/>
      <c r="AK161" s="226"/>
      <c r="AL161" s="410" t="s">
        <v>564</v>
      </c>
      <c r="AM161" s="411" t="s">
        <v>565</v>
      </c>
      <c r="AN161" s="307" t="e">
        <f>VLOOKUP(功能_33[[#This Row],[功能代號]],工作表2!B:B,1,FALSE)</f>
        <v>#N/A</v>
      </c>
    </row>
    <row r="162" spans="1:40" ht="14.25" customHeight="1">
      <c r="A162" s="224">
        <v>351</v>
      </c>
      <c r="B16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07" t="s">
        <v>106</v>
      </c>
      <c r="D162" s="307"/>
      <c r="E162" s="308" t="s">
        <v>566</v>
      </c>
      <c r="F162" s="307" t="s">
        <v>565</v>
      </c>
      <c r="G162" s="307"/>
      <c r="H162" s="308" t="s">
        <v>203</v>
      </c>
      <c r="I162" s="308" t="s">
        <v>330</v>
      </c>
      <c r="J162" s="229" t="s">
        <v>2843</v>
      </c>
      <c r="K162" s="226">
        <v>44515</v>
      </c>
      <c r="L162" s="226">
        <v>44466</v>
      </c>
      <c r="M162" s="226" t="str">
        <f>IFERROR(IF(VLOOKUP(功能_33[[#This Row],[功能代號]],討論項目!A:H,8,FALSE)=0,"",VLOOKUP(功能_33[[#This Row],[功能代號]],討論項目!A:H,8,FALSE)),"")</f>
        <v/>
      </c>
      <c r="N162" s="308" t="s">
        <v>12</v>
      </c>
      <c r="O162" s="308" t="s">
        <v>11</v>
      </c>
      <c r="T162" s="308"/>
      <c r="V162" s="308"/>
      <c r="W162" s="308"/>
      <c r="X162" s="307" t="str">
        <f>VLOOKUP(功能_33[[#This Row],[User]],SKL放款!A:G,7,FALSE)</f>
        <v>放款服務課</v>
      </c>
      <c r="Y162" s="228">
        <f>IF(功能_33[[#This Row],[實際展示]]="","",功能_33[[#This Row],[實際展示]]+14)</f>
        <v>44480</v>
      </c>
      <c r="Z162" s="226" t="s">
        <v>2809</v>
      </c>
      <c r="AA162" s="226" t="e">
        <f>IF(功能_33[[#This Row],[URS交二審]]=0,"",功能_33[[#This Row],[URS交二審]]+7)</f>
        <v>#VALUE!</v>
      </c>
      <c r="AB162" s="226"/>
      <c r="AC162" s="226"/>
      <c r="AD162" s="226"/>
      <c r="AE162" s="226"/>
      <c r="AF162" s="355"/>
      <c r="AG162" s="226" t="str">
        <f>IFERROR(IF(VLOOKUP(功能_33[[#This Row],[功能代號]],E:Q,11,FALSE)=0,"",VLOOKUP(功能_33[[#This Row],[功能代號]],E:Q,11,FALSE)),"")</f>
        <v>蔡珮瑜</v>
      </c>
      <c r="AH162" s="226"/>
      <c r="AI162" s="226"/>
      <c r="AJ162" s="307"/>
      <c r="AK162" s="226"/>
      <c r="AL162" s="410" t="s">
        <v>564</v>
      </c>
      <c r="AM162" s="411" t="s">
        <v>565</v>
      </c>
      <c r="AN162" s="307" t="e">
        <f>VLOOKUP(功能_33[[#This Row],[功能代號]],工作表2!B:B,1,FALSE)</f>
        <v>#N/A</v>
      </c>
    </row>
    <row r="163" spans="1:40" ht="14.25" customHeight="1">
      <c r="A163" s="224">
        <v>352</v>
      </c>
      <c r="B16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307" t="s">
        <v>106</v>
      </c>
      <c r="D163" s="307"/>
      <c r="E163" s="308" t="s">
        <v>567</v>
      </c>
      <c r="F163" s="307" t="s">
        <v>568</v>
      </c>
      <c r="G163" s="307"/>
      <c r="H163" s="308" t="s">
        <v>203</v>
      </c>
      <c r="I163" s="308" t="s">
        <v>330</v>
      </c>
      <c r="J163" s="229" t="s">
        <v>2843</v>
      </c>
      <c r="K163" s="226">
        <v>44515</v>
      </c>
      <c r="L163" s="226">
        <v>44466</v>
      </c>
      <c r="M163" s="226" t="str">
        <f>IFERROR(IF(VLOOKUP(功能_33[[#This Row],[功能代號]],討論項目!A:H,8,FALSE)=0,"",VLOOKUP(功能_33[[#This Row],[功能代號]],討論項目!A:H,8,FALSE)),"")</f>
        <v/>
      </c>
      <c r="N163" s="308" t="s">
        <v>7</v>
      </c>
      <c r="O163" s="308" t="s">
        <v>11</v>
      </c>
      <c r="T163" s="308"/>
      <c r="V163" s="308"/>
      <c r="W163" s="308"/>
      <c r="X163" s="307" t="str">
        <f>VLOOKUP(功能_33[[#This Row],[User]],SKL放款!A:G,7,FALSE)</f>
        <v>放款服務課</v>
      </c>
      <c r="Y163" s="228">
        <f>IF(功能_33[[#This Row],[實際展示]]="","",功能_33[[#This Row],[實際展示]]+14)</f>
        <v>44480</v>
      </c>
      <c r="Z163" s="226" t="s">
        <v>2809</v>
      </c>
      <c r="AA163" s="226" t="e">
        <f>IF(功能_33[[#This Row],[URS交二審]]=0,"",功能_33[[#This Row],[URS交二審]]+7)</f>
        <v>#VALUE!</v>
      </c>
      <c r="AB163" s="226"/>
      <c r="AC163" s="226"/>
      <c r="AD163" s="226"/>
      <c r="AE163" s="226"/>
      <c r="AF163" s="355"/>
      <c r="AG163" s="226" t="str">
        <f>IFERROR(IF(VLOOKUP(功能_33[[#This Row],[功能代號]],E:Q,11,FALSE)=0,"",VLOOKUP(功能_33[[#This Row],[功能代號]],E:Q,11,FALSE)),"")</f>
        <v>蔡珮瑜</v>
      </c>
      <c r="AH163" s="226"/>
      <c r="AI163" s="226"/>
      <c r="AJ163" s="307"/>
      <c r="AK163" s="226"/>
      <c r="AL163" s="308" t="s">
        <v>2848</v>
      </c>
      <c r="AN163" s="307" t="e">
        <f>VLOOKUP(功能_33[[#This Row],[功能代號]],工作表2!B:B,1,FALSE)</f>
        <v>#N/A</v>
      </c>
    </row>
    <row r="164" spans="1:40" ht="14.25" customHeight="1">
      <c r="A164" s="224">
        <v>353</v>
      </c>
      <c r="B1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07" t="s">
        <v>106</v>
      </c>
      <c r="D164" s="307"/>
      <c r="E164" s="308" t="s">
        <v>569</v>
      </c>
      <c r="F164" s="307" t="s">
        <v>570</v>
      </c>
      <c r="G164" s="307"/>
      <c r="H164" s="308" t="s">
        <v>203</v>
      </c>
      <c r="I164" s="308" t="s">
        <v>330</v>
      </c>
      <c r="J164" s="229" t="s">
        <v>2843</v>
      </c>
      <c r="K164" s="226">
        <v>44515</v>
      </c>
      <c r="L164" s="226">
        <v>44466</v>
      </c>
      <c r="M164" s="226" t="str">
        <f>IFERROR(IF(VLOOKUP(功能_33[[#This Row],[功能代號]],討論項目!A:H,8,FALSE)=0,"",VLOOKUP(功能_33[[#This Row],[功能代號]],討論項目!A:H,8,FALSE)),"")</f>
        <v/>
      </c>
      <c r="N164" s="308" t="s">
        <v>7</v>
      </c>
      <c r="O164" s="308" t="s">
        <v>11</v>
      </c>
      <c r="T164" s="308"/>
      <c r="V164" s="308"/>
      <c r="W164" s="308"/>
      <c r="X164" s="307" t="str">
        <f>VLOOKUP(功能_33[[#This Row],[User]],SKL放款!A:G,7,FALSE)</f>
        <v>放款服務課</v>
      </c>
      <c r="Y164" s="228">
        <f>IF(功能_33[[#This Row],[實際展示]]="","",功能_33[[#This Row],[實際展示]]+14)</f>
        <v>44480</v>
      </c>
      <c r="Z164" s="226" t="s">
        <v>2809</v>
      </c>
      <c r="AA164" s="226" t="e">
        <f>IF(功能_33[[#This Row],[URS交二審]]=0,"",功能_33[[#This Row],[URS交二審]]+7)</f>
        <v>#VALUE!</v>
      </c>
      <c r="AB164" s="226"/>
      <c r="AC164" s="226"/>
      <c r="AD164" s="226"/>
      <c r="AE164" s="226"/>
      <c r="AF164" s="355"/>
      <c r="AG164" s="226" t="str">
        <f>IFERROR(IF(VLOOKUP(功能_33[[#This Row],[功能代號]],E:Q,11,FALSE)=0,"",VLOOKUP(功能_33[[#This Row],[功能代號]],E:Q,11,FALSE)),"")</f>
        <v>蔡珮瑜</v>
      </c>
      <c r="AH164" s="226"/>
      <c r="AI164" s="226"/>
      <c r="AJ164" s="307"/>
      <c r="AK164" s="226"/>
      <c r="AL164" s="308" t="s">
        <v>2848</v>
      </c>
      <c r="AN164" s="307" t="e">
        <f>VLOOKUP(功能_33[[#This Row],[功能代號]],工作表2!B:B,1,FALSE)</f>
        <v>#N/A</v>
      </c>
    </row>
    <row r="165" spans="1:40" ht="14.25" customHeight="1">
      <c r="A165" s="224">
        <v>324</v>
      </c>
      <c r="B165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5" s="307" t="s">
        <v>106</v>
      </c>
      <c r="D165" s="307" t="s">
        <v>571</v>
      </c>
      <c r="E165" s="308" t="s">
        <v>572</v>
      </c>
      <c r="F165" s="307" t="s">
        <v>573</v>
      </c>
      <c r="G165" s="307"/>
      <c r="H165" s="308" t="s">
        <v>203</v>
      </c>
      <c r="I165" s="308" t="s">
        <v>330</v>
      </c>
      <c r="J165" s="229" t="s">
        <v>2843</v>
      </c>
      <c r="K165" s="226">
        <v>44516</v>
      </c>
      <c r="L165" s="226">
        <v>44467</v>
      </c>
      <c r="M165" s="226" t="str">
        <f>IFERROR(IF(VLOOKUP(功能_33[[#This Row],[功能代號]],討論項目!A:H,8,FALSE)=0,"",VLOOKUP(功能_33[[#This Row],[功能代號]],討論項目!A:H,8,FALSE)),"")</f>
        <v/>
      </c>
      <c r="N165" s="308" t="s">
        <v>12</v>
      </c>
      <c r="O165" s="308" t="s">
        <v>574</v>
      </c>
      <c r="T165" s="308"/>
      <c r="V165" s="308"/>
      <c r="W165" s="308"/>
      <c r="X165" s="307" t="str">
        <f>VLOOKUP(功能_33[[#This Row],[User]],SKL放款!A:G,7,FALSE)</f>
        <v>放款審查課</v>
      </c>
      <c r="Y165" s="228">
        <f>IF(功能_33[[#This Row],[實際展示]]="","",功能_33[[#This Row],[實際展示]]+14)</f>
        <v>44481</v>
      </c>
      <c r="Z165" s="226" t="s">
        <v>2809</v>
      </c>
      <c r="AA165" s="226" t="e">
        <f>IF(功能_33[[#This Row],[URS交二審]]=0,"",功能_33[[#This Row],[URS交二審]]+7)</f>
        <v>#VALUE!</v>
      </c>
      <c r="AB165" s="226"/>
      <c r="AC165" s="226"/>
      <c r="AD165" s="226"/>
      <c r="AE165" s="226"/>
      <c r="AF165" s="355"/>
      <c r="AG165" s="226" t="str">
        <f>IFERROR(IF(VLOOKUP(功能_33[[#This Row],[功能代號]],E:Q,11,FALSE)=0,"",VLOOKUP(功能_33[[#This Row],[功能代號]],E:Q,11,FALSE)),"")</f>
        <v>鄧雪美</v>
      </c>
      <c r="AH165" s="226"/>
      <c r="AI165" s="226"/>
      <c r="AJ165" s="307"/>
      <c r="AK165" s="226"/>
      <c r="AL165" s="410" t="s">
        <v>575</v>
      </c>
      <c r="AM165" s="411" t="s">
        <v>576</v>
      </c>
      <c r="AN165" s="307" t="e">
        <f>VLOOKUP(功能_33[[#This Row],[功能代號]],工作表2!B:B,1,FALSE)</f>
        <v>#N/A</v>
      </c>
    </row>
    <row r="166" spans="1:40" ht="14.25" customHeight="1">
      <c r="A166" s="224">
        <v>325</v>
      </c>
      <c r="B1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07" t="s">
        <v>106</v>
      </c>
      <c r="D166" s="307" t="s">
        <v>571</v>
      </c>
      <c r="E166" s="308" t="s">
        <v>577</v>
      </c>
      <c r="F166" s="307" t="s">
        <v>578</v>
      </c>
      <c r="G166" s="307"/>
      <c r="H166" s="308" t="s">
        <v>203</v>
      </c>
      <c r="I166" s="308" t="s">
        <v>330</v>
      </c>
      <c r="J166" s="229" t="s">
        <v>2843</v>
      </c>
      <c r="K166" s="226">
        <v>44516</v>
      </c>
      <c r="L166" s="226">
        <v>44467</v>
      </c>
      <c r="M166" s="226" t="str">
        <f>IFERROR(IF(VLOOKUP(功能_33[[#This Row],[功能代號]],討論項目!A:H,8,FALSE)=0,"",VLOOKUP(功能_33[[#This Row],[功能代號]],討論項目!A:H,8,FALSE)),"")</f>
        <v/>
      </c>
      <c r="N166" s="308" t="s">
        <v>12</v>
      </c>
      <c r="O166" s="308" t="s">
        <v>574</v>
      </c>
      <c r="T166" s="308"/>
      <c r="V166" s="308"/>
      <c r="W166" s="308"/>
      <c r="X166" s="307" t="str">
        <f>VLOOKUP(功能_33[[#This Row],[User]],SKL放款!A:G,7,FALSE)</f>
        <v>放款審查課</v>
      </c>
      <c r="Y166" s="228">
        <f>IF(功能_33[[#This Row],[實際展示]]="","",功能_33[[#This Row],[實際展示]]+14)</f>
        <v>44481</v>
      </c>
      <c r="Z166" s="226" t="s">
        <v>2809</v>
      </c>
      <c r="AA166" s="226" t="e">
        <f>IF(功能_33[[#This Row],[URS交二審]]=0,"",功能_33[[#This Row],[URS交二審]]+7)</f>
        <v>#VALUE!</v>
      </c>
      <c r="AB166" s="226"/>
      <c r="AC166" s="226"/>
      <c r="AD166" s="226"/>
      <c r="AE166" s="226"/>
      <c r="AF166" s="355"/>
      <c r="AG166" s="226" t="str">
        <f>IFERROR(IF(VLOOKUP(功能_33[[#This Row],[功能代號]],E:Q,11,FALSE)=0,"",VLOOKUP(功能_33[[#This Row],[功能代號]],E:Q,11,FALSE)),"")</f>
        <v>鄧雪美</v>
      </c>
      <c r="AH166" s="226"/>
      <c r="AI166" s="226"/>
      <c r="AJ166" s="307"/>
      <c r="AK166" s="226"/>
      <c r="AL166" s="410" t="s">
        <v>575</v>
      </c>
      <c r="AM166" s="411" t="s">
        <v>576</v>
      </c>
      <c r="AN166" s="307" t="e">
        <f>VLOOKUP(功能_33[[#This Row],[功能代號]],工作表2!B:B,1,FALSE)</f>
        <v>#N/A</v>
      </c>
    </row>
    <row r="167" spans="1:40" ht="14.25" customHeight="1">
      <c r="A167" s="224">
        <v>338</v>
      </c>
      <c r="B16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307" t="s">
        <v>106</v>
      </c>
      <c r="D167" s="307" t="s">
        <v>236</v>
      </c>
      <c r="E167" s="308" t="s">
        <v>579</v>
      </c>
      <c r="F167" s="307" t="s">
        <v>580</v>
      </c>
      <c r="G167" s="307"/>
      <c r="H167" s="308" t="s">
        <v>203</v>
      </c>
      <c r="I167" s="308" t="s">
        <v>330</v>
      </c>
      <c r="J167" s="229" t="s">
        <v>2843</v>
      </c>
      <c r="K167" s="226">
        <v>44516</v>
      </c>
      <c r="L167" s="226">
        <v>44467</v>
      </c>
      <c r="M167" s="226" t="str">
        <f>IFERROR(IF(VLOOKUP(功能_33[[#This Row],[功能代號]],討論項目!A:H,8,FALSE)=0,"",VLOOKUP(功能_33[[#This Row],[功能代號]],討論項目!A:H,8,FALSE)),"")</f>
        <v/>
      </c>
      <c r="N167" s="308" t="s">
        <v>8</v>
      </c>
      <c r="O167" s="308" t="s">
        <v>574</v>
      </c>
      <c r="T167" s="308"/>
      <c r="V167" s="308"/>
      <c r="W167" s="308"/>
      <c r="X167" s="307" t="str">
        <f>VLOOKUP(功能_33[[#This Row],[User]],SKL放款!A:G,7,FALSE)</f>
        <v>放款審查課</v>
      </c>
      <c r="Y167" s="228">
        <f>IF(功能_33[[#This Row],[實際展示]]="","",功能_33[[#This Row],[實際展示]]+14)</f>
        <v>44481</v>
      </c>
      <c r="Z167" s="226" t="s">
        <v>2809</v>
      </c>
      <c r="AA167" s="226" t="e">
        <f>IF(功能_33[[#This Row],[URS交二審]]=0,"",功能_33[[#This Row],[URS交二審]]+7)</f>
        <v>#VALUE!</v>
      </c>
      <c r="AB167" s="226"/>
      <c r="AC167" s="226"/>
      <c r="AD167" s="226"/>
      <c r="AE167" s="226"/>
      <c r="AF167" s="355"/>
      <c r="AG167" s="226" t="str">
        <f>IFERROR(IF(VLOOKUP(功能_33[[#This Row],[功能代號]],E:Q,11,FALSE)=0,"",VLOOKUP(功能_33[[#This Row],[功能代號]],E:Q,11,FALSE)),"")</f>
        <v>鄧雪美</v>
      </c>
      <c r="AH167" s="226"/>
      <c r="AI167" s="226"/>
      <c r="AJ167" s="307"/>
      <c r="AK167" s="226"/>
      <c r="AL167" s="410" t="s">
        <v>581</v>
      </c>
      <c r="AM167" s="411" t="s">
        <v>582</v>
      </c>
      <c r="AN167" s="307" t="e">
        <f>VLOOKUP(功能_33[[#This Row],[功能代號]],工作表2!B:B,1,FALSE)</f>
        <v>#N/A</v>
      </c>
    </row>
    <row r="168" spans="1:40" ht="14.25" customHeight="1">
      <c r="A168" s="224">
        <v>339</v>
      </c>
      <c r="B1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07" t="s">
        <v>106</v>
      </c>
      <c r="D168" s="307" t="s">
        <v>236</v>
      </c>
      <c r="E168" s="308" t="s">
        <v>583</v>
      </c>
      <c r="F168" s="307" t="s">
        <v>584</v>
      </c>
      <c r="G168" s="307"/>
      <c r="H168" s="308" t="s">
        <v>203</v>
      </c>
      <c r="I168" s="308" t="s">
        <v>330</v>
      </c>
      <c r="J168" s="229" t="s">
        <v>2843</v>
      </c>
      <c r="K168" s="226">
        <v>44516</v>
      </c>
      <c r="L168" s="226">
        <v>44467</v>
      </c>
      <c r="M168" s="226" t="str">
        <f>IFERROR(IF(VLOOKUP(功能_33[[#This Row],[功能代號]],討論項目!A:H,8,FALSE)=0,"",VLOOKUP(功能_33[[#This Row],[功能代號]],討論項目!A:H,8,FALSE)),"")</f>
        <v/>
      </c>
      <c r="N168" s="308" t="s">
        <v>8</v>
      </c>
      <c r="O168" s="308" t="s">
        <v>574</v>
      </c>
      <c r="T168" s="308"/>
      <c r="V168" s="308"/>
      <c r="W168" s="308"/>
      <c r="X168" s="307" t="str">
        <f>VLOOKUP(功能_33[[#This Row],[User]],SKL放款!A:G,7,FALSE)</f>
        <v>放款審查課</v>
      </c>
      <c r="Y168" s="228">
        <f>IF(功能_33[[#This Row],[實際展示]]="","",功能_33[[#This Row],[實際展示]]+14)</f>
        <v>44481</v>
      </c>
      <c r="Z168" s="226" t="s">
        <v>2809</v>
      </c>
      <c r="AA168" s="226" t="e">
        <f>IF(功能_33[[#This Row],[URS交二審]]=0,"",功能_33[[#This Row],[URS交二審]]+7)</f>
        <v>#VALUE!</v>
      </c>
      <c r="AB168" s="226"/>
      <c r="AC168" s="226"/>
      <c r="AD168" s="226"/>
      <c r="AE168" s="226"/>
      <c r="AF168" s="355"/>
      <c r="AG168" s="226" t="str">
        <f>IFERROR(IF(VLOOKUP(功能_33[[#This Row],[功能代號]],E:Q,11,FALSE)=0,"",VLOOKUP(功能_33[[#This Row],[功能代號]],E:Q,11,FALSE)),"")</f>
        <v>鄧雪美</v>
      </c>
      <c r="AH168" s="226"/>
      <c r="AI168" s="226"/>
      <c r="AJ168" s="307"/>
      <c r="AK168" s="226"/>
      <c r="AL168" s="410" t="s">
        <v>581</v>
      </c>
      <c r="AM168" s="411" t="s">
        <v>582</v>
      </c>
      <c r="AN168" s="307" t="e">
        <f>VLOOKUP(功能_33[[#This Row],[功能代號]],工作表2!B:B,1,FALSE)</f>
        <v>#N/A</v>
      </c>
    </row>
    <row r="169" spans="1:40" ht="14.25" customHeight="1">
      <c r="A169" s="224">
        <v>348</v>
      </c>
      <c r="B169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9" s="307" t="s">
        <v>106</v>
      </c>
      <c r="D169" s="307"/>
      <c r="E169" s="308" t="s">
        <v>585</v>
      </c>
      <c r="F169" s="307" t="s">
        <v>586</v>
      </c>
      <c r="G169" s="307"/>
      <c r="H169" s="308" t="s">
        <v>203</v>
      </c>
      <c r="I169" s="308" t="s">
        <v>330</v>
      </c>
      <c r="J169" s="229" t="s">
        <v>2843</v>
      </c>
      <c r="K169" s="226">
        <v>44516</v>
      </c>
      <c r="L169" s="226">
        <v>44467</v>
      </c>
      <c r="M169" s="226">
        <f>IFERROR(IF(VLOOKUP(功能_33[[#This Row],[功能代號]],討論項目!A:H,8,FALSE)=0,"",VLOOKUP(功能_33[[#This Row],[功能代號]],討論項目!A:H,8,FALSE)),"")</f>
        <v>44475</v>
      </c>
      <c r="N169" s="308" t="s">
        <v>12</v>
      </c>
      <c r="O169" s="308" t="s">
        <v>574</v>
      </c>
      <c r="T169" s="308"/>
      <c r="V169" s="308"/>
      <c r="W169" s="308"/>
      <c r="X169" s="307" t="str">
        <f>VLOOKUP(功能_33[[#This Row],[User]],SKL放款!A:G,7,FALSE)</f>
        <v>放款審查課</v>
      </c>
      <c r="Y169" s="228">
        <f>IF(功能_33[[#This Row],[實際展示]]="","",功能_33[[#This Row],[實際展示]]+14)</f>
        <v>44481</v>
      </c>
      <c r="Z169" s="226" t="s">
        <v>2808</v>
      </c>
      <c r="AA169" s="226"/>
      <c r="AB169" s="226"/>
      <c r="AC169" s="226"/>
      <c r="AD169" s="226"/>
      <c r="AE169" s="226"/>
      <c r="AF169" s="355"/>
      <c r="AG169" s="226" t="str">
        <f>IFERROR(IF(VLOOKUP(功能_33[[#This Row],[功能代號]],E:Q,11,FALSE)=0,"",VLOOKUP(功能_33[[#This Row],[功能代號]],E:Q,11,FALSE)),"")</f>
        <v>鄧雪美</v>
      </c>
      <c r="AH169" s="226"/>
      <c r="AI169" s="226"/>
      <c r="AJ169" s="307"/>
      <c r="AK169" s="226"/>
      <c r="AL169" s="410" t="s">
        <v>587</v>
      </c>
      <c r="AM169" s="411" t="s">
        <v>588</v>
      </c>
      <c r="AN169" s="307" t="str">
        <f>VLOOKUP(功能_33[[#This Row],[功能代號]],工作表2!B:B,1,FALSE)</f>
        <v>L6075</v>
      </c>
    </row>
    <row r="170" spans="1:40" ht="14.25" customHeight="1">
      <c r="A170" s="224">
        <v>349</v>
      </c>
      <c r="B1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07" t="s">
        <v>106</v>
      </c>
      <c r="D170" s="307"/>
      <c r="E170" s="308" t="s">
        <v>589</v>
      </c>
      <c r="F170" s="307" t="s">
        <v>588</v>
      </c>
      <c r="G170" s="307"/>
      <c r="H170" s="308" t="s">
        <v>203</v>
      </c>
      <c r="I170" s="308" t="s">
        <v>330</v>
      </c>
      <c r="J170" s="229" t="s">
        <v>2843</v>
      </c>
      <c r="K170" s="226">
        <v>44516</v>
      </c>
      <c r="L170" s="226">
        <v>44467</v>
      </c>
      <c r="M170" s="226">
        <f>IFERROR(IF(VLOOKUP(功能_33[[#This Row],[功能代號]],討論項目!A:H,8,FALSE)=0,"",VLOOKUP(功能_33[[#This Row],[功能代號]],討論項目!A:H,8,FALSE)),"")</f>
        <v>44475</v>
      </c>
      <c r="N170" s="308" t="s">
        <v>12</v>
      </c>
      <c r="O170" s="308" t="s">
        <v>574</v>
      </c>
      <c r="T170" s="308"/>
      <c r="V170" s="308"/>
      <c r="W170" s="308"/>
      <c r="X170" s="307" t="str">
        <f>VLOOKUP(功能_33[[#This Row],[User]],SKL放款!A:G,7,FALSE)</f>
        <v>放款審查課</v>
      </c>
      <c r="Y170" s="228">
        <f>IF(功能_33[[#This Row],[實際展示]]="","",功能_33[[#This Row],[實際展示]]+14)</f>
        <v>44481</v>
      </c>
      <c r="Z170" s="226" t="s">
        <v>2808</v>
      </c>
      <c r="AA170" s="226"/>
      <c r="AB170" s="226"/>
      <c r="AC170" s="226"/>
      <c r="AD170" s="226"/>
      <c r="AE170" s="226"/>
      <c r="AF170" s="355"/>
      <c r="AG170" s="226" t="str">
        <f>IFERROR(IF(VLOOKUP(功能_33[[#This Row],[功能代號]],E:Q,11,FALSE)=0,"",VLOOKUP(功能_33[[#This Row],[功能代號]],E:Q,11,FALSE)),"")</f>
        <v>鄧雪美</v>
      </c>
      <c r="AH170" s="226"/>
      <c r="AI170" s="226"/>
      <c r="AJ170" s="307"/>
      <c r="AK170" s="226"/>
      <c r="AL170" s="410" t="s">
        <v>587</v>
      </c>
      <c r="AM170" s="411" t="s">
        <v>588</v>
      </c>
      <c r="AN170" s="307" t="str">
        <f>VLOOKUP(功能_33[[#This Row],[功能代號]],工作表2!B:B,1,FALSE)</f>
        <v>L6705</v>
      </c>
    </row>
    <row r="171" spans="1:40" ht="14.25" customHeight="1">
      <c r="A171" s="224">
        <v>330</v>
      </c>
      <c r="B171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1" s="307" t="s">
        <v>106</v>
      </c>
      <c r="D171" s="307"/>
      <c r="E171" s="308" t="s">
        <v>590</v>
      </c>
      <c r="F171" s="307" t="s">
        <v>591</v>
      </c>
      <c r="G171" s="307"/>
      <c r="H171" s="308" t="s">
        <v>203</v>
      </c>
      <c r="I171" s="308" t="s">
        <v>330</v>
      </c>
      <c r="J171" s="229" t="s">
        <v>2843</v>
      </c>
      <c r="K171" s="226">
        <v>44516</v>
      </c>
      <c r="L171" s="226">
        <v>44467</v>
      </c>
      <c r="M171" s="226" t="str">
        <f>IFERROR(IF(VLOOKUP(功能_33[[#This Row],[功能代號]],討論項目!A:H,8,FALSE)=0,"",VLOOKUP(功能_33[[#This Row],[功能代號]],討論項目!A:H,8,FALSE)),"")</f>
        <v/>
      </c>
      <c r="N171" s="308" t="s">
        <v>12</v>
      </c>
      <c r="O171" s="308" t="s">
        <v>574</v>
      </c>
      <c r="T171" s="308"/>
      <c r="V171" s="308"/>
      <c r="W171" s="308"/>
      <c r="X171" s="307" t="str">
        <f>VLOOKUP(功能_33[[#This Row],[User]],SKL放款!A:G,7,FALSE)</f>
        <v>放款審查課</v>
      </c>
      <c r="Y171" s="228">
        <f>IF(功能_33[[#This Row],[實際展示]]="","",功能_33[[#This Row],[實際展示]]+14)</f>
        <v>44481</v>
      </c>
      <c r="Z171" s="226" t="s">
        <v>2809</v>
      </c>
      <c r="AA171" s="226" t="e">
        <f>IF(功能_33[[#This Row],[URS交二審]]=0,"",功能_33[[#This Row],[URS交二審]]+7)</f>
        <v>#VALUE!</v>
      </c>
      <c r="AB171" s="226"/>
      <c r="AC171" s="226"/>
      <c r="AD171" s="226"/>
      <c r="AE171" s="226"/>
      <c r="AF171" s="355"/>
      <c r="AG171" s="226" t="str">
        <f>IFERROR(IF(VLOOKUP(功能_33[[#This Row],[功能代號]],E:Q,11,FALSE)=0,"",VLOOKUP(功能_33[[#This Row],[功能代號]],E:Q,11,FALSE)),"")</f>
        <v>鄧雪美</v>
      </c>
      <c r="AH171" s="226"/>
      <c r="AI171" s="226"/>
      <c r="AJ171" s="307"/>
      <c r="AK171" s="226"/>
      <c r="AL171" s="410" t="s">
        <v>592</v>
      </c>
      <c r="AM171" s="411" t="s">
        <v>593</v>
      </c>
      <c r="AN171" s="307" t="e">
        <f>VLOOKUP(功能_33[[#This Row],[功能代號]],工作表2!B:B,1,FALSE)</f>
        <v>#N/A</v>
      </c>
    </row>
    <row r="172" spans="1:40" ht="14.25" customHeight="1">
      <c r="A172" s="224">
        <v>331</v>
      </c>
      <c r="B17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07" t="s">
        <v>106</v>
      </c>
      <c r="D172" s="307"/>
      <c r="E172" s="308" t="s">
        <v>594</v>
      </c>
      <c r="F172" s="307" t="s">
        <v>593</v>
      </c>
      <c r="G172" s="307"/>
      <c r="H172" s="308" t="s">
        <v>203</v>
      </c>
      <c r="I172" s="308" t="s">
        <v>330</v>
      </c>
      <c r="J172" s="229" t="s">
        <v>2843</v>
      </c>
      <c r="K172" s="226">
        <v>44516</v>
      </c>
      <c r="L172" s="226">
        <v>44467</v>
      </c>
      <c r="M172" s="226" t="str">
        <f>IFERROR(IF(VLOOKUP(功能_33[[#This Row],[功能代號]],討論項目!A:H,8,FALSE)=0,"",VLOOKUP(功能_33[[#This Row],[功能代號]],討論項目!A:H,8,FALSE)),"")</f>
        <v/>
      </c>
      <c r="N172" s="308" t="s">
        <v>12</v>
      </c>
      <c r="O172" s="308" t="s">
        <v>574</v>
      </c>
      <c r="T172" s="308"/>
      <c r="V172" s="308"/>
      <c r="W172" s="308"/>
      <c r="X172" s="307" t="str">
        <f>VLOOKUP(功能_33[[#This Row],[User]],SKL放款!A:G,7,FALSE)</f>
        <v>放款審查課</v>
      </c>
      <c r="Y172" s="228">
        <f>IF(功能_33[[#This Row],[實際展示]]="","",功能_33[[#This Row],[實際展示]]+14)</f>
        <v>44481</v>
      </c>
      <c r="Z172" s="226" t="s">
        <v>2809</v>
      </c>
      <c r="AA172" s="226" t="e">
        <f>IF(功能_33[[#This Row],[URS交二審]]=0,"",功能_33[[#This Row],[URS交二審]]+7)</f>
        <v>#VALUE!</v>
      </c>
      <c r="AB172" s="226"/>
      <c r="AC172" s="226"/>
      <c r="AD172" s="226"/>
      <c r="AE172" s="226"/>
      <c r="AF172" s="355"/>
      <c r="AG172" s="226" t="str">
        <f>IFERROR(IF(VLOOKUP(功能_33[[#This Row],[功能代號]],E:Q,11,FALSE)=0,"",VLOOKUP(功能_33[[#This Row],[功能代號]],E:Q,11,FALSE)),"")</f>
        <v>鄧雪美</v>
      </c>
      <c r="AH172" s="226"/>
      <c r="AI172" s="226"/>
      <c r="AJ172" s="307"/>
      <c r="AK172" s="226"/>
      <c r="AL172" s="410" t="s">
        <v>592</v>
      </c>
      <c r="AM172" s="411" t="s">
        <v>593</v>
      </c>
      <c r="AN172" s="307" t="e">
        <f>VLOOKUP(功能_33[[#This Row],[功能代號]],工作表2!B:B,1,FALSE)</f>
        <v>#N/A</v>
      </c>
    </row>
    <row r="173" spans="1:40" ht="14.25" customHeight="1">
      <c r="A173" s="224">
        <v>346</v>
      </c>
      <c r="B17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3" s="307" t="s">
        <v>106</v>
      </c>
      <c r="D173" s="307"/>
      <c r="E173" s="308" t="s">
        <v>595</v>
      </c>
      <c r="F173" s="307" t="s">
        <v>596</v>
      </c>
      <c r="G173" s="307"/>
      <c r="H173" s="308" t="s">
        <v>203</v>
      </c>
      <c r="I173" s="308" t="s">
        <v>330</v>
      </c>
      <c r="J173" s="229" t="s">
        <v>2843</v>
      </c>
      <c r="K173" s="226">
        <v>44516</v>
      </c>
      <c r="L173" s="226">
        <v>44467</v>
      </c>
      <c r="M173" s="226">
        <f>IFERROR(IF(VLOOKUP(功能_33[[#This Row],[功能代號]],討論項目!A:H,8,FALSE)=0,"",VLOOKUP(功能_33[[#This Row],[功能代號]],討論項目!A:H,8,FALSE)),"")</f>
        <v>44475</v>
      </c>
      <c r="N173" s="308" t="s">
        <v>12</v>
      </c>
      <c r="O173" s="308" t="s">
        <v>574</v>
      </c>
      <c r="T173" s="308"/>
      <c r="V173" s="308"/>
      <c r="W173" s="308"/>
      <c r="X173" s="307" t="str">
        <f>VLOOKUP(功能_33[[#This Row],[User]],SKL放款!A:G,7,FALSE)</f>
        <v>放款審查課</v>
      </c>
      <c r="Y173" s="228">
        <f>IF(功能_33[[#This Row],[實際展示]]="","",功能_33[[#This Row],[實際展示]]+14)</f>
        <v>44481</v>
      </c>
      <c r="Z173" s="226" t="s">
        <v>2808</v>
      </c>
      <c r="AA173" s="226"/>
      <c r="AB173" s="226"/>
      <c r="AC173" s="226"/>
      <c r="AD173" s="226"/>
      <c r="AE173" s="226"/>
      <c r="AF173" s="355"/>
      <c r="AG173" s="226" t="str">
        <f>IFERROR(IF(VLOOKUP(功能_33[[#This Row],[功能代號]],E:Q,11,FALSE)=0,"",VLOOKUP(功能_33[[#This Row],[功能代號]],E:Q,11,FALSE)),"")</f>
        <v>鄧雪美</v>
      </c>
      <c r="AH173" s="226"/>
      <c r="AI173" s="226"/>
      <c r="AJ173" s="307"/>
      <c r="AK173" s="226"/>
      <c r="AL173" s="410" t="s">
        <v>587</v>
      </c>
      <c r="AM173" s="411" t="s">
        <v>588</v>
      </c>
      <c r="AN173" s="307" t="str">
        <f>VLOOKUP(功能_33[[#This Row],[功能代號]],工作表2!B:B,1,FALSE)</f>
        <v>L6074</v>
      </c>
    </row>
    <row r="174" spans="1:40" ht="14.25" customHeight="1">
      <c r="A174" s="224">
        <v>347</v>
      </c>
      <c r="B17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07" t="s">
        <v>106</v>
      </c>
      <c r="D174" s="307"/>
      <c r="E174" s="308" t="s">
        <v>597</v>
      </c>
      <c r="F174" s="307" t="s">
        <v>598</v>
      </c>
      <c r="G174" s="307"/>
      <c r="H174" s="308" t="s">
        <v>203</v>
      </c>
      <c r="I174" s="308" t="s">
        <v>330</v>
      </c>
      <c r="J174" s="229" t="s">
        <v>2843</v>
      </c>
      <c r="K174" s="226">
        <v>44516</v>
      </c>
      <c r="L174" s="226">
        <v>44467</v>
      </c>
      <c r="M174" s="226">
        <f>IFERROR(IF(VLOOKUP(功能_33[[#This Row],[功能代號]],討論項目!A:H,8,FALSE)=0,"",VLOOKUP(功能_33[[#This Row],[功能代號]],討論項目!A:H,8,FALSE)),"")</f>
        <v>44475</v>
      </c>
      <c r="N174" s="308" t="s">
        <v>12</v>
      </c>
      <c r="O174" s="308" t="s">
        <v>574</v>
      </c>
      <c r="T174" s="308"/>
      <c r="V174" s="308"/>
      <c r="W174" s="308"/>
      <c r="X174" s="307" t="str">
        <f>VLOOKUP(功能_33[[#This Row],[User]],SKL放款!A:G,7,FALSE)</f>
        <v>放款審查課</v>
      </c>
      <c r="Y174" s="228">
        <f>IF(功能_33[[#This Row],[實際展示]]="","",功能_33[[#This Row],[實際展示]]+14)</f>
        <v>44481</v>
      </c>
      <c r="Z174" s="226" t="s">
        <v>2808</v>
      </c>
      <c r="AA174" s="226"/>
      <c r="AB174" s="226"/>
      <c r="AC174" s="226"/>
      <c r="AD174" s="226"/>
      <c r="AE174" s="226"/>
      <c r="AF174" s="355"/>
      <c r="AG174" s="226" t="str">
        <f>IFERROR(IF(VLOOKUP(功能_33[[#This Row],[功能代號]],E:Q,11,FALSE)=0,"",VLOOKUP(功能_33[[#This Row],[功能代號]],E:Q,11,FALSE)),"")</f>
        <v>鄧雪美</v>
      </c>
      <c r="AH174" s="226"/>
      <c r="AI174" s="226"/>
      <c r="AJ174" s="307"/>
      <c r="AK174" s="226"/>
      <c r="AL174" s="410" t="s">
        <v>587</v>
      </c>
      <c r="AM174" s="411" t="s">
        <v>588</v>
      </c>
      <c r="AN174" s="307" t="str">
        <f>VLOOKUP(功能_33[[#This Row],[功能代號]],工作表2!B:B,1,FALSE)</f>
        <v>L6704</v>
      </c>
    </row>
    <row r="175" spans="1:40" ht="14.25" customHeight="1">
      <c r="A175" s="224">
        <v>334</v>
      </c>
      <c r="B175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5" s="307" t="s">
        <v>106</v>
      </c>
      <c r="D175" s="307"/>
      <c r="E175" s="308" t="s">
        <v>599</v>
      </c>
      <c r="F175" s="307" t="s">
        <v>600</v>
      </c>
      <c r="G175" s="307"/>
      <c r="H175" s="308" t="s">
        <v>203</v>
      </c>
      <c r="I175" s="308" t="s">
        <v>330</v>
      </c>
      <c r="J175" s="229" t="s">
        <v>2843</v>
      </c>
      <c r="K175" s="226">
        <v>44516</v>
      </c>
      <c r="L175" s="226">
        <v>44467</v>
      </c>
      <c r="M175" s="226" t="str">
        <f>IFERROR(IF(VLOOKUP(功能_33[[#This Row],[功能代號]],討論項目!A:H,8,FALSE)=0,"",VLOOKUP(功能_33[[#This Row],[功能代號]],討論項目!A:H,8,FALSE)),"")</f>
        <v/>
      </c>
      <c r="N175" s="308" t="s">
        <v>8</v>
      </c>
      <c r="O175" s="308" t="s">
        <v>14</v>
      </c>
      <c r="T175" s="308"/>
      <c r="V175" s="308"/>
      <c r="W175" s="308"/>
      <c r="X175" s="307" t="str">
        <f>VLOOKUP(功能_33[[#This Row],[User]],SKL放款!A:G,7,FALSE)</f>
        <v>放款管理課</v>
      </c>
      <c r="Y175" s="228">
        <f>IF(功能_33[[#This Row],[實際展示]]="","",功能_33[[#This Row],[實際展示]]+14)</f>
        <v>44481</v>
      </c>
      <c r="Z175" s="226" t="s">
        <v>2809</v>
      </c>
      <c r="AA175" s="226" t="e">
        <f>IF(功能_33[[#This Row],[URS交二審]]=0,"",功能_33[[#This Row],[URS交二審]]+7)</f>
        <v>#VALUE!</v>
      </c>
      <c r="AB175" s="226"/>
      <c r="AC175" s="226"/>
      <c r="AD175" s="226"/>
      <c r="AE175" s="226"/>
      <c r="AF175" s="355"/>
      <c r="AG175" s="226" t="str">
        <f>IFERROR(IF(VLOOKUP(功能_33[[#This Row],[功能代號]],E:Q,11,FALSE)=0,"",VLOOKUP(功能_33[[#This Row],[功能代號]],E:Q,11,FALSE)),"")</f>
        <v>張舜雯</v>
      </c>
      <c r="AH175" s="226"/>
      <c r="AI175" s="226"/>
      <c r="AJ175" s="307"/>
      <c r="AK175" s="226"/>
      <c r="AL175" s="410" t="s">
        <v>601</v>
      </c>
      <c r="AM175" s="411" t="s">
        <v>602</v>
      </c>
      <c r="AN175" s="307" t="e">
        <f>VLOOKUP(功能_33[[#This Row],[功能代號]],工作表2!B:B,1,FALSE)</f>
        <v>#N/A</v>
      </c>
    </row>
    <row r="176" spans="1:40" ht="14.25" customHeight="1">
      <c r="A176" s="224">
        <v>335</v>
      </c>
      <c r="B1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07" t="s">
        <v>106</v>
      </c>
      <c r="D176" s="307"/>
      <c r="E176" s="308" t="s">
        <v>603</v>
      </c>
      <c r="F176" s="307" t="s">
        <v>602</v>
      </c>
      <c r="G176" s="307"/>
      <c r="H176" s="308" t="s">
        <v>203</v>
      </c>
      <c r="I176" s="308" t="s">
        <v>330</v>
      </c>
      <c r="J176" s="229" t="s">
        <v>2843</v>
      </c>
      <c r="K176" s="226">
        <v>44516</v>
      </c>
      <c r="L176" s="226">
        <v>44467</v>
      </c>
      <c r="M176" s="226" t="str">
        <f>IFERROR(IF(VLOOKUP(功能_33[[#This Row],[功能代號]],討論項目!A:H,8,FALSE)=0,"",VLOOKUP(功能_33[[#This Row],[功能代號]],討論項目!A:H,8,FALSE)),"")</f>
        <v/>
      </c>
      <c r="N176" s="308" t="s">
        <v>8</v>
      </c>
      <c r="O176" s="308" t="s">
        <v>14</v>
      </c>
      <c r="T176" s="308"/>
      <c r="V176" s="308"/>
      <c r="W176" s="308"/>
      <c r="X176" s="307" t="str">
        <f>VLOOKUP(功能_33[[#This Row],[User]],SKL放款!A:G,7,FALSE)</f>
        <v>放款管理課</v>
      </c>
      <c r="Y176" s="228">
        <f>IF(功能_33[[#This Row],[實際展示]]="","",功能_33[[#This Row],[實際展示]]+14)</f>
        <v>44481</v>
      </c>
      <c r="Z176" s="226" t="s">
        <v>2808</v>
      </c>
      <c r="AA176" s="226"/>
      <c r="AB176" s="226"/>
      <c r="AC176" s="226"/>
      <c r="AD176" s="226"/>
      <c r="AE176" s="226"/>
      <c r="AF176" s="355"/>
      <c r="AG176" s="226" t="str">
        <f>IFERROR(IF(VLOOKUP(功能_33[[#This Row],[功能代號]],E:Q,11,FALSE)=0,"",VLOOKUP(功能_33[[#This Row],[功能代號]],E:Q,11,FALSE)),"")</f>
        <v>張舜雯</v>
      </c>
      <c r="AH176" s="226"/>
      <c r="AI176" s="226"/>
      <c r="AJ176" s="307"/>
      <c r="AK176" s="226"/>
      <c r="AL176" s="410" t="s">
        <v>601</v>
      </c>
      <c r="AM176" s="411" t="s">
        <v>602</v>
      </c>
      <c r="AN176" s="307" t="str">
        <f>VLOOKUP(功能_33[[#This Row],[功能代號]],工作表2!B:B,1,FALSE)</f>
        <v>L6605</v>
      </c>
    </row>
    <row r="177" spans="1:40" ht="14.25" customHeight="1">
      <c r="A177" s="224">
        <v>336</v>
      </c>
      <c r="B17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307" t="s">
        <v>106</v>
      </c>
      <c r="D177" s="307"/>
      <c r="E177" s="308" t="s">
        <v>604</v>
      </c>
      <c r="F177" s="307" t="s">
        <v>605</v>
      </c>
      <c r="G177" s="307"/>
      <c r="H177" s="308" t="s">
        <v>203</v>
      </c>
      <c r="I177" s="308" t="s">
        <v>330</v>
      </c>
      <c r="J177" s="229" t="s">
        <v>2843</v>
      </c>
      <c r="K177" s="226">
        <v>44516</v>
      </c>
      <c r="L177" s="226">
        <v>44467</v>
      </c>
      <c r="M177" s="226" t="str">
        <f>IFERROR(IF(VLOOKUP(功能_33[[#This Row],[功能代號]],討論項目!A:H,8,FALSE)=0,"",VLOOKUP(功能_33[[#This Row],[功能代號]],討論項目!A:H,8,FALSE)),"")</f>
        <v/>
      </c>
      <c r="N177" s="308" t="s">
        <v>8</v>
      </c>
      <c r="O177" s="308" t="s">
        <v>180</v>
      </c>
      <c r="T177" s="308"/>
      <c r="V177" s="308"/>
      <c r="W177" s="308"/>
      <c r="X177" s="307" t="str">
        <f>VLOOKUP(功能_33[[#This Row],[User]],SKL放款!A:G,7,FALSE)</f>
        <v>放款服務課</v>
      </c>
      <c r="Y177" s="228">
        <f>IF(功能_33[[#This Row],[實際展示]]="","",功能_33[[#This Row],[實際展示]]+14)</f>
        <v>44481</v>
      </c>
      <c r="Z177" s="226" t="s">
        <v>2809</v>
      </c>
      <c r="AA177" s="226" t="e">
        <f>IF(功能_33[[#This Row],[URS交二審]]=0,"",功能_33[[#This Row],[URS交二審]]+7)</f>
        <v>#VALUE!</v>
      </c>
      <c r="AB177" s="226"/>
      <c r="AC177" s="226"/>
      <c r="AD177" s="226"/>
      <c r="AE177" s="226"/>
      <c r="AF177" s="355"/>
      <c r="AG177" s="226" t="str">
        <f>IFERROR(IF(VLOOKUP(功能_33[[#This Row],[功能代號]],E:Q,11,FALSE)=0,"",VLOOKUP(功能_33[[#This Row],[功能代號]],E:Q,11,FALSE)),"")</f>
        <v>陳政皓</v>
      </c>
      <c r="AH177" s="226"/>
      <c r="AI177" s="226"/>
      <c r="AJ177" s="307"/>
      <c r="AK177" s="226"/>
      <c r="AL177" s="410" t="s">
        <v>606</v>
      </c>
      <c r="AM177" s="411" t="s">
        <v>607</v>
      </c>
      <c r="AN177" s="307" t="e">
        <f>VLOOKUP(功能_33[[#This Row],[功能代號]],工作表2!B:B,1,FALSE)</f>
        <v>#N/A</v>
      </c>
    </row>
    <row r="178" spans="1:40" ht="14.25" customHeight="1">
      <c r="A178" s="224">
        <v>337</v>
      </c>
      <c r="B17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07" t="s">
        <v>106</v>
      </c>
      <c r="D178" s="307"/>
      <c r="E178" s="308" t="s">
        <v>608</v>
      </c>
      <c r="F178" s="307" t="s">
        <v>609</v>
      </c>
      <c r="G178" s="307"/>
      <c r="H178" s="308" t="s">
        <v>203</v>
      </c>
      <c r="I178" s="308" t="s">
        <v>330</v>
      </c>
      <c r="J178" s="229" t="s">
        <v>2843</v>
      </c>
      <c r="K178" s="226">
        <v>44516</v>
      </c>
      <c r="L178" s="226">
        <v>44467</v>
      </c>
      <c r="M178" s="226" t="str">
        <f>IFERROR(IF(VLOOKUP(功能_33[[#This Row],[功能代號]],討論項目!A:H,8,FALSE)=0,"",VLOOKUP(功能_33[[#This Row],[功能代號]],討論項目!A:H,8,FALSE)),"")</f>
        <v/>
      </c>
      <c r="N178" s="308" t="s">
        <v>8</v>
      </c>
      <c r="O178" s="308" t="s">
        <v>180</v>
      </c>
      <c r="T178" s="308"/>
      <c r="V178" s="308"/>
      <c r="W178" s="308"/>
      <c r="X178" s="307" t="str">
        <f>VLOOKUP(功能_33[[#This Row],[User]],SKL放款!A:G,7,FALSE)</f>
        <v>放款服務課</v>
      </c>
      <c r="Y178" s="228">
        <f>IF(功能_33[[#This Row],[實際展示]]="","",功能_33[[#This Row],[實際展示]]+14)</f>
        <v>44481</v>
      </c>
      <c r="Z178" s="226" t="s">
        <v>2809</v>
      </c>
      <c r="AA178" s="226" t="e">
        <f>IF(功能_33[[#This Row],[URS交二審]]=0,"",功能_33[[#This Row],[URS交二審]]+7)</f>
        <v>#VALUE!</v>
      </c>
      <c r="AB178" s="226"/>
      <c r="AC178" s="226"/>
      <c r="AD178" s="226"/>
      <c r="AE178" s="226"/>
      <c r="AF178" s="355"/>
      <c r="AG178" s="226" t="str">
        <f>IFERROR(IF(VLOOKUP(功能_33[[#This Row],[功能代號]],E:Q,11,FALSE)=0,"",VLOOKUP(功能_33[[#This Row],[功能代號]],E:Q,11,FALSE)),"")</f>
        <v>陳政皓</v>
      </c>
      <c r="AH178" s="226"/>
      <c r="AI178" s="226"/>
      <c r="AJ178" s="307"/>
      <c r="AK178" s="226"/>
      <c r="AL178" s="410" t="s">
        <v>606</v>
      </c>
      <c r="AM178" s="411" t="s">
        <v>607</v>
      </c>
      <c r="AN178" s="307" t="e">
        <f>VLOOKUP(功能_33[[#This Row],[功能代號]],工作表2!B:B,1,FALSE)</f>
        <v>#N/A</v>
      </c>
    </row>
    <row r="179" spans="1:40" ht="14.25" customHeight="1">
      <c r="A179" s="224">
        <v>340</v>
      </c>
      <c r="B179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9" s="307" t="s">
        <v>106</v>
      </c>
      <c r="D179" s="307"/>
      <c r="E179" s="308" t="s">
        <v>610</v>
      </c>
      <c r="F179" s="307" t="s">
        <v>611</v>
      </c>
      <c r="G179" s="307"/>
      <c r="H179" s="308" t="s">
        <v>203</v>
      </c>
      <c r="I179" s="308" t="s">
        <v>330</v>
      </c>
      <c r="J179" s="229" t="s">
        <v>2843</v>
      </c>
      <c r="K179" s="226">
        <v>44516</v>
      </c>
      <c r="L179" s="226">
        <v>44467</v>
      </c>
      <c r="M179" s="226" t="str">
        <f>IFERROR(IF(VLOOKUP(功能_33[[#This Row],[功能代號]],討論項目!A:H,8,FALSE)=0,"",VLOOKUP(功能_33[[#This Row],[功能代號]],討論項目!A:H,8,FALSE)),"")</f>
        <v/>
      </c>
      <c r="N179" s="308" t="s">
        <v>8</v>
      </c>
      <c r="O179" s="308" t="s">
        <v>180</v>
      </c>
      <c r="T179" s="308"/>
      <c r="V179" s="308"/>
      <c r="W179" s="308"/>
      <c r="X179" s="307" t="str">
        <f>VLOOKUP(功能_33[[#This Row],[User]],SKL放款!A:G,7,FALSE)</f>
        <v>放款服務課</v>
      </c>
      <c r="Y179" s="228">
        <f>IF(功能_33[[#This Row],[實際展示]]="","",功能_33[[#This Row],[實際展示]]+14)</f>
        <v>44481</v>
      </c>
      <c r="Z179" s="226" t="s">
        <v>2809</v>
      </c>
      <c r="AA179" s="226" t="e">
        <f>IF(功能_33[[#This Row],[URS交二審]]=0,"",功能_33[[#This Row],[URS交二審]]+7)</f>
        <v>#VALUE!</v>
      </c>
      <c r="AB179" s="226"/>
      <c r="AC179" s="226"/>
      <c r="AD179" s="226"/>
      <c r="AE179" s="226"/>
      <c r="AF179" s="355"/>
      <c r="AG179" s="226" t="str">
        <f>IFERROR(IF(VLOOKUP(功能_33[[#This Row],[功能代號]],E:Q,11,FALSE)=0,"",VLOOKUP(功能_33[[#This Row],[功能代號]],E:Q,11,FALSE)),"")</f>
        <v>陳政皓</v>
      </c>
      <c r="AH179" s="226"/>
      <c r="AI179" s="226"/>
      <c r="AJ179" s="307"/>
      <c r="AK179" s="226"/>
      <c r="AL179" s="410" t="s">
        <v>612</v>
      </c>
      <c r="AM179" s="411" t="s">
        <v>613</v>
      </c>
      <c r="AN179" s="307" t="e">
        <f>VLOOKUP(功能_33[[#This Row],[功能代號]],工作表2!B:B,1,FALSE)</f>
        <v>#N/A</v>
      </c>
    </row>
    <row r="180" spans="1:40" ht="14.25" customHeight="1">
      <c r="A180" s="224">
        <v>341</v>
      </c>
      <c r="B18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07" t="s">
        <v>106</v>
      </c>
      <c r="D180" s="307"/>
      <c r="E180" s="308" t="s">
        <v>614</v>
      </c>
      <c r="F180" s="307" t="s">
        <v>613</v>
      </c>
      <c r="G180" s="307"/>
      <c r="H180" s="308" t="s">
        <v>203</v>
      </c>
      <c r="I180" s="308" t="s">
        <v>330</v>
      </c>
      <c r="J180" s="229" t="s">
        <v>2843</v>
      </c>
      <c r="K180" s="226">
        <v>44516</v>
      </c>
      <c r="L180" s="226">
        <v>44467</v>
      </c>
      <c r="M180" s="226" t="str">
        <f>IFERROR(IF(VLOOKUP(功能_33[[#This Row],[功能代號]],討論項目!A:H,8,FALSE)=0,"",VLOOKUP(功能_33[[#This Row],[功能代號]],討論項目!A:H,8,FALSE)),"")</f>
        <v/>
      </c>
      <c r="N180" s="308" t="s">
        <v>12</v>
      </c>
      <c r="O180" s="308" t="s">
        <v>180</v>
      </c>
      <c r="T180" s="308"/>
      <c r="V180" s="308"/>
      <c r="W180" s="308"/>
      <c r="X180" s="307" t="str">
        <f>VLOOKUP(功能_33[[#This Row],[User]],SKL放款!A:G,7,FALSE)</f>
        <v>放款服務課</v>
      </c>
      <c r="Y180" s="228">
        <f>IF(功能_33[[#This Row],[實際展示]]="","",功能_33[[#This Row],[實際展示]]+14)</f>
        <v>44481</v>
      </c>
      <c r="Z180" s="226" t="s">
        <v>2809</v>
      </c>
      <c r="AA180" s="226" t="e">
        <f>IF(功能_33[[#This Row],[URS交二審]]=0,"",功能_33[[#This Row],[URS交二審]]+7)</f>
        <v>#VALUE!</v>
      </c>
      <c r="AB180" s="226"/>
      <c r="AC180" s="226"/>
      <c r="AD180" s="226"/>
      <c r="AE180" s="226"/>
      <c r="AF180" s="355"/>
      <c r="AG180" s="226" t="str">
        <f>IFERROR(IF(VLOOKUP(功能_33[[#This Row],[功能代號]],E:Q,11,FALSE)=0,"",VLOOKUP(功能_33[[#This Row],[功能代號]],E:Q,11,FALSE)),"")</f>
        <v>陳政皓</v>
      </c>
      <c r="AH180" s="226"/>
      <c r="AI180" s="226"/>
      <c r="AJ180" s="307"/>
      <c r="AK180" s="226"/>
      <c r="AL180" s="410" t="s">
        <v>612</v>
      </c>
      <c r="AM180" s="411" t="s">
        <v>613</v>
      </c>
      <c r="AN180" s="307" t="e">
        <f>VLOOKUP(功能_33[[#This Row],[功能代號]],工作表2!B:B,1,FALSE)</f>
        <v>#N/A</v>
      </c>
    </row>
    <row r="181" spans="1:40" ht="14.25" customHeight="1">
      <c r="A181" s="224">
        <v>344</v>
      </c>
      <c r="B18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07" t="s">
        <v>106</v>
      </c>
      <c r="D181" s="307"/>
      <c r="E181" s="308" t="s">
        <v>615</v>
      </c>
      <c r="F181" s="307" t="s">
        <v>616</v>
      </c>
      <c r="G181" s="307"/>
      <c r="H181" s="308" t="s">
        <v>203</v>
      </c>
      <c r="I181" s="308" t="s">
        <v>330</v>
      </c>
      <c r="J181" s="229" t="s">
        <v>2843</v>
      </c>
      <c r="K181" s="226">
        <v>44516</v>
      </c>
      <c r="L181" s="226">
        <v>44467</v>
      </c>
      <c r="M181" s="226" t="str">
        <f>IFERROR(IF(VLOOKUP(功能_33[[#This Row],[功能代號]],討論項目!A:H,8,FALSE)=0,"",VLOOKUP(功能_33[[#This Row],[功能代號]],討論項目!A:H,8,FALSE)),"")</f>
        <v/>
      </c>
      <c r="N181" s="308" t="s">
        <v>12</v>
      </c>
      <c r="O181" s="308" t="s">
        <v>180</v>
      </c>
      <c r="T181" s="308"/>
      <c r="V181" s="308"/>
      <c r="W181" s="308"/>
      <c r="X181" s="307" t="str">
        <f>VLOOKUP(功能_33[[#This Row],[User]],SKL放款!A:G,7,FALSE)</f>
        <v>放款服務課</v>
      </c>
      <c r="Y181" s="228">
        <f>IF(功能_33[[#This Row],[實際展示]]="","",功能_33[[#This Row],[實際展示]]+14)</f>
        <v>44481</v>
      </c>
      <c r="Z181" s="226" t="s">
        <v>2809</v>
      </c>
      <c r="AA181" s="226" t="e">
        <f>IF(功能_33[[#This Row],[URS交二審]]=0,"",功能_33[[#This Row],[URS交二審]]+7)</f>
        <v>#VALUE!</v>
      </c>
      <c r="AB181" s="226"/>
      <c r="AC181" s="226"/>
      <c r="AD181" s="226"/>
      <c r="AE181" s="226"/>
      <c r="AF181" s="355"/>
      <c r="AG181" s="226" t="str">
        <f>IFERROR(IF(VLOOKUP(功能_33[[#This Row],[功能代號]],E:Q,11,FALSE)=0,"",VLOOKUP(功能_33[[#This Row],[功能代號]],E:Q,11,FALSE)),"")</f>
        <v>陳政皓</v>
      </c>
      <c r="AH181" s="226"/>
      <c r="AI181" s="226"/>
      <c r="AJ181" s="307"/>
      <c r="AK181" s="226"/>
      <c r="AL181" s="410" t="s">
        <v>617</v>
      </c>
      <c r="AM181" s="411" t="s">
        <v>618</v>
      </c>
      <c r="AN181" s="307" t="e">
        <f>VLOOKUP(功能_33[[#This Row],[功能代號]],工作表2!B:B,1,FALSE)</f>
        <v>#N/A</v>
      </c>
    </row>
    <row r="182" spans="1:40" ht="14.25" customHeight="1">
      <c r="A182" s="224">
        <v>345</v>
      </c>
      <c r="B18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07" t="s">
        <v>106</v>
      </c>
      <c r="D182" s="307"/>
      <c r="E182" s="308" t="s">
        <v>619</v>
      </c>
      <c r="F182" s="307" t="s">
        <v>620</v>
      </c>
      <c r="G182" s="307"/>
      <c r="H182" s="308" t="s">
        <v>203</v>
      </c>
      <c r="I182" s="308" t="s">
        <v>330</v>
      </c>
      <c r="J182" s="229" t="s">
        <v>2843</v>
      </c>
      <c r="K182" s="226">
        <v>44516</v>
      </c>
      <c r="L182" s="226">
        <v>44467</v>
      </c>
      <c r="M182" s="226">
        <f>IFERROR(IF(VLOOKUP(功能_33[[#This Row],[功能代號]],討論項目!A:H,8,FALSE)=0,"",VLOOKUP(功能_33[[#This Row],[功能代號]],討論項目!A:H,8,FALSE)),"")</f>
        <v>44475</v>
      </c>
      <c r="N182" s="308" t="s">
        <v>12</v>
      </c>
      <c r="O182" s="308" t="s">
        <v>180</v>
      </c>
      <c r="T182" s="308"/>
      <c r="V182" s="308"/>
      <c r="W182" s="308"/>
      <c r="X182" s="307" t="str">
        <f>VLOOKUP(功能_33[[#This Row],[User]],SKL放款!A:G,7,FALSE)</f>
        <v>放款服務課</v>
      </c>
      <c r="Y182" s="228">
        <f>IF(功能_33[[#This Row],[實際展示]]="","",功能_33[[#This Row],[實際展示]]+14)</f>
        <v>44481</v>
      </c>
      <c r="Z182" s="226" t="s">
        <v>2808</v>
      </c>
      <c r="AA182" s="226"/>
      <c r="AB182" s="226"/>
      <c r="AC182" s="226"/>
      <c r="AD182" s="226"/>
      <c r="AE182" s="226"/>
      <c r="AF182" s="355"/>
      <c r="AG182" s="226" t="str">
        <f>IFERROR(IF(VLOOKUP(功能_33[[#This Row],[功能代號]],E:Q,11,FALSE)=0,"",VLOOKUP(功能_33[[#This Row],[功能代號]],E:Q,11,FALSE)),"")</f>
        <v>陳政皓</v>
      </c>
      <c r="AH182" s="226"/>
      <c r="AI182" s="226"/>
      <c r="AJ182" s="307"/>
      <c r="AK182" s="226"/>
      <c r="AL182" s="410" t="s">
        <v>617</v>
      </c>
      <c r="AM182" s="411" t="s">
        <v>618</v>
      </c>
      <c r="AN182" s="307" t="str">
        <f>VLOOKUP(功能_33[[#This Row],[功能代號]],工作表2!B:B,1,FALSE)</f>
        <v>L6703</v>
      </c>
    </row>
    <row r="183" spans="1:40" ht="14.25" customHeight="1">
      <c r="A183" s="224">
        <v>354</v>
      </c>
      <c r="B18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307" t="s">
        <v>106</v>
      </c>
      <c r="D183" s="307"/>
      <c r="E183" s="308" t="s">
        <v>621</v>
      </c>
      <c r="F183" s="307" t="s">
        <v>622</v>
      </c>
      <c r="G183" s="307"/>
      <c r="H183" s="308" t="s">
        <v>203</v>
      </c>
      <c r="I183" s="308" t="s">
        <v>330</v>
      </c>
      <c r="J183" s="229" t="s">
        <v>2843</v>
      </c>
      <c r="K183" s="226">
        <v>44516</v>
      </c>
      <c r="L183" s="226">
        <v>44467</v>
      </c>
      <c r="M183" s="226" t="str">
        <f>IFERROR(IF(VLOOKUP(功能_33[[#This Row],[功能代號]],討論項目!A:H,8,FALSE)=0,"",VLOOKUP(功能_33[[#This Row],[功能代號]],討論項目!A:H,8,FALSE)),"")</f>
        <v/>
      </c>
      <c r="N183" s="308" t="s">
        <v>12</v>
      </c>
      <c r="O183" s="308" t="s">
        <v>180</v>
      </c>
      <c r="T183" s="308"/>
      <c r="V183" s="308"/>
      <c r="W183" s="308"/>
      <c r="X183" s="307" t="str">
        <f>VLOOKUP(功能_33[[#This Row],[User]],SKL放款!A:G,7,FALSE)</f>
        <v>放款服務課</v>
      </c>
      <c r="Y183" s="228">
        <f>IF(功能_33[[#This Row],[實際展示]]="","",功能_33[[#This Row],[實際展示]]+14)</f>
        <v>44481</v>
      </c>
      <c r="Z183" s="226" t="s">
        <v>2809</v>
      </c>
      <c r="AA183" s="226" t="e">
        <f>IF(功能_33[[#This Row],[URS交二審]]=0,"",功能_33[[#This Row],[URS交二審]]+7)</f>
        <v>#VALUE!</v>
      </c>
      <c r="AB183" s="226"/>
      <c r="AC183" s="226"/>
      <c r="AD183" s="226"/>
      <c r="AE183" s="226"/>
      <c r="AF183" s="355"/>
      <c r="AG183" s="226" t="str">
        <f>IFERROR(IF(VLOOKUP(功能_33[[#This Row],[功能代號]],E:Q,11,FALSE)=0,"",VLOOKUP(功能_33[[#This Row],[功能代號]],E:Q,11,FALSE)),"")</f>
        <v>陳政皓</v>
      </c>
      <c r="AH183" s="226"/>
      <c r="AI183" s="226"/>
      <c r="AJ183" s="307"/>
      <c r="AK183" s="226"/>
      <c r="AL183" s="410" t="s">
        <v>623</v>
      </c>
      <c r="AM183" s="411" t="s">
        <v>624</v>
      </c>
      <c r="AN183" s="307" t="e">
        <f>VLOOKUP(功能_33[[#This Row],[功能代號]],工作表2!B:B,1,FALSE)</f>
        <v>#N/A</v>
      </c>
    </row>
    <row r="184" spans="1:40" ht="14.25" customHeight="1">
      <c r="A184" s="224">
        <v>355</v>
      </c>
      <c r="B1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07" t="s">
        <v>106</v>
      </c>
      <c r="D184" s="307"/>
      <c r="E184" s="308" t="s">
        <v>625</v>
      </c>
      <c r="F184" s="307" t="s">
        <v>626</v>
      </c>
      <c r="G184" s="307"/>
      <c r="H184" s="308" t="s">
        <v>203</v>
      </c>
      <c r="I184" s="308" t="s">
        <v>330</v>
      </c>
      <c r="J184" s="229" t="s">
        <v>2843</v>
      </c>
      <c r="K184" s="226">
        <v>44516</v>
      </c>
      <c r="L184" s="226">
        <v>44467</v>
      </c>
      <c r="M184" s="226" t="str">
        <f>IFERROR(IF(VLOOKUP(功能_33[[#This Row],[功能代號]],討論項目!A:H,8,FALSE)=0,"",VLOOKUP(功能_33[[#This Row],[功能代號]],討論項目!A:H,8,FALSE)),"")</f>
        <v/>
      </c>
      <c r="N184" s="308" t="s">
        <v>12</v>
      </c>
      <c r="O184" s="308" t="s">
        <v>180</v>
      </c>
      <c r="T184" s="308"/>
      <c r="V184" s="308"/>
      <c r="W184" s="308"/>
      <c r="X184" s="307" t="str">
        <f>VLOOKUP(功能_33[[#This Row],[User]],SKL放款!A:G,7,FALSE)</f>
        <v>放款服務課</v>
      </c>
      <c r="Y184" s="228">
        <f>IF(功能_33[[#This Row],[實際展示]]="","",功能_33[[#This Row],[實際展示]]+14)</f>
        <v>44481</v>
      </c>
      <c r="Z184" s="226" t="s">
        <v>2809</v>
      </c>
      <c r="AA184" s="226" t="e">
        <f>IF(功能_33[[#This Row],[URS交二審]]=0,"",功能_33[[#This Row],[URS交二審]]+7)</f>
        <v>#VALUE!</v>
      </c>
      <c r="AB184" s="226"/>
      <c r="AC184" s="226"/>
      <c r="AD184" s="226"/>
      <c r="AE184" s="226"/>
      <c r="AF184" s="355"/>
      <c r="AG184" s="226" t="str">
        <f>IFERROR(IF(VLOOKUP(功能_33[[#This Row],[功能代號]],E:Q,11,FALSE)=0,"",VLOOKUP(功能_33[[#This Row],[功能代號]],E:Q,11,FALSE)),"")</f>
        <v>陳政皓</v>
      </c>
      <c r="AH184" s="226"/>
      <c r="AI184" s="226"/>
      <c r="AJ184" s="307"/>
      <c r="AK184" s="226"/>
      <c r="AL184" s="410" t="s">
        <v>623</v>
      </c>
      <c r="AM184" s="411" t="s">
        <v>624</v>
      </c>
      <c r="AN184" s="307" t="e">
        <f>VLOOKUP(功能_33[[#This Row],[功能代號]],工作表2!B:B,1,FALSE)</f>
        <v>#N/A</v>
      </c>
    </row>
    <row r="185" spans="1:40" ht="14.25" customHeight="1">
      <c r="A185" s="224">
        <v>322</v>
      </c>
      <c r="B185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5" s="307" t="s">
        <v>106</v>
      </c>
      <c r="D185" s="307"/>
      <c r="E185" s="308" t="s">
        <v>627</v>
      </c>
      <c r="F185" s="307" t="s">
        <v>628</v>
      </c>
      <c r="G185" s="307"/>
      <c r="H185" s="308" t="s">
        <v>203</v>
      </c>
      <c r="I185" s="308" t="s">
        <v>330</v>
      </c>
      <c r="J185" s="229" t="s">
        <v>2843</v>
      </c>
      <c r="K185" s="226">
        <v>44516</v>
      </c>
      <c r="L185" s="226">
        <v>44467</v>
      </c>
      <c r="M185" s="226">
        <f>IFERROR(IF(VLOOKUP(功能_33[[#This Row],[功能代號]],討論項目!A:H,8,FALSE)=0,"",VLOOKUP(功能_33[[#This Row],[功能代號]],討論項目!A:H,8,FALSE)),"")</f>
        <v>44475</v>
      </c>
      <c r="N185" s="308" t="s">
        <v>12</v>
      </c>
      <c r="O185" s="308" t="s">
        <v>180</v>
      </c>
      <c r="T185" s="308"/>
      <c r="V185" s="308"/>
      <c r="W185" s="308"/>
      <c r="X185" s="307" t="str">
        <f>VLOOKUP(功能_33[[#This Row],[User]],SKL放款!A:G,7,FALSE)</f>
        <v>放款服務課</v>
      </c>
      <c r="Y185" s="228">
        <f>IF(功能_33[[#This Row],[實際展示]]="","",功能_33[[#This Row],[實際展示]]+14)</f>
        <v>44481</v>
      </c>
      <c r="Z185" s="226" t="s">
        <v>2808</v>
      </c>
      <c r="AA185" s="226"/>
      <c r="AB185" s="226"/>
      <c r="AC185" s="226"/>
      <c r="AD185" s="226"/>
      <c r="AE185" s="226"/>
      <c r="AF185" s="355"/>
      <c r="AG185" s="226" t="str">
        <f>IFERROR(IF(VLOOKUP(功能_33[[#This Row],[功能代號]],E:Q,11,FALSE)=0,"",VLOOKUP(功能_33[[#This Row],[功能代號]],E:Q,11,FALSE)),"")</f>
        <v>陳政皓</v>
      </c>
      <c r="AH185" s="226"/>
      <c r="AI185" s="226"/>
      <c r="AJ185" s="307"/>
      <c r="AK185" s="226"/>
      <c r="AL185" s="308" t="s">
        <v>2848</v>
      </c>
      <c r="AM185" s="411"/>
      <c r="AN185" s="307" t="str">
        <f>VLOOKUP(功能_33[[#This Row],[功能代號]],工作表2!B:B,1,FALSE)</f>
        <v>L6052</v>
      </c>
    </row>
    <row r="186" spans="1:40" ht="14.25" customHeight="1">
      <c r="A186" s="224">
        <v>323</v>
      </c>
      <c r="B1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07" t="s">
        <v>106</v>
      </c>
      <c r="D186" s="307"/>
      <c r="E186" s="308" t="s">
        <v>629</v>
      </c>
      <c r="F186" s="307" t="s">
        <v>630</v>
      </c>
      <c r="G186" s="307"/>
      <c r="H186" s="308" t="s">
        <v>203</v>
      </c>
      <c r="I186" s="308" t="s">
        <v>330</v>
      </c>
      <c r="J186" s="229" t="s">
        <v>2843</v>
      </c>
      <c r="K186" s="226">
        <v>44516</v>
      </c>
      <c r="L186" s="226">
        <v>44467</v>
      </c>
      <c r="M186" s="226">
        <f>IFERROR(IF(VLOOKUP(功能_33[[#This Row],[功能代號]],討論項目!A:H,8,FALSE)=0,"",VLOOKUP(功能_33[[#This Row],[功能代號]],討論項目!A:H,8,FALSE)),"")</f>
        <v>44475</v>
      </c>
      <c r="N186" s="308" t="s">
        <v>12</v>
      </c>
      <c r="O186" s="308" t="s">
        <v>180</v>
      </c>
      <c r="T186" s="308"/>
      <c r="V186" s="308"/>
      <c r="W186" s="308"/>
      <c r="X186" s="307" t="str">
        <f>VLOOKUP(功能_33[[#This Row],[User]],SKL放款!A:G,7,FALSE)</f>
        <v>放款服務課</v>
      </c>
      <c r="Y186" s="228">
        <f>IF(功能_33[[#This Row],[實際展示]]="","",功能_33[[#This Row],[實際展示]]+14)</f>
        <v>44481</v>
      </c>
      <c r="Z186" s="226" t="s">
        <v>2808</v>
      </c>
      <c r="AA186" s="226"/>
      <c r="AB186" s="226"/>
      <c r="AC186" s="226"/>
      <c r="AD186" s="226"/>
      <c r="AE186" s="226"/>
      <c r="AF186" s="355"/>
      <c r="AG186" s="226" t="str">
        <f>IFERROR(IF(VLOOKUP(功能_33[[#This Row],[功能代號]],E:Q,11,FALSE)=0,"",VLOOKUP(功能_33[[#This Row],[功能代號]],E:Q,11,FALSE)),"")</f>
        <v>陳政皓</v>
      </c>
      <c r="AH186" s="226"/>
      <c r="AI186" s="226"/>
      <c r="AJ186" s="307"/>
      <c r="AK186" s="226"/>
      <c r="AL186" s="308" t="s">
        <v>2848</v>
      </c>
      <c r="AN186" s="307" t="str">
        <f>VLOOKUP(功能_33[[#This Row],[功能代號]],工作表2!B:B,1,FALSE)</f>
        <v>L6502</v>
      </c>
    </row>
    <row r="187" spans="1:40" ht="14.25" hidden="1" customHeight="1">
      <c r="A187" s="224">
        <v>99</v>
      </c>
      <c r="B187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307" t="s">
        <v>104</v>
      </c>
      <c r="D187" s="307" t="s">
        <v>631</v>
      </c>
      <c r="E187" s="231" t="s">
        <v>632</v>
      </c>
      <c r="F187" s="307" t="s">
        <v>633</v>
      </c>
      <c r="G187" s="307"/>
      <c r="H187" s="308" t="s">
        <v>203</v>
      </c>
      <c r="I187" s="308" t="s">
        <v>447</v>
      </c>
      <c r="J187" s="229"/>
      <c r="K187" s="226">
        <v>44468</v>
      </c>
      <c r="L187" s="226">
        <v>44468</v>
      </c>
      <c r="M187" s="226" t="str">
        <f>IFERROR(IF(VLOOKUP(功能_33[[#This Row],[功能代號]],討論項目!A:H,8,FALSE)=0,"",VLOOKUP(功能_33[[#This Row],[功能代號]],討論項目!A:H,8,FALSE)),"")</f>
        <v/>
      </c>
      <c r="N187" s="308" t="s">
        <v>12</v>
      </c>
      <c r="O187" s="308" t="s">
        <v>24</v>
      </c>
      <c r="T187" s="308"/>
      <c r="V187" s="308"/>
      <c r="W187" s="308"/>
      <c r="X187" s="307" t="str">
        <f>VLOOKUP(功能_33[[#This Row],[User]],SKL放款!A:G,7,FALSE)</f>
        <v>放款服務課</v>
      </c>
      <c r="Y187" s="228">
        <f>IF(功能_33[[#This Row],[實際展示]]="","",功能_33[[#This Row],[實際展示]]+14)</f>
        <v>44482</v>
      </c>
      <c r="Z187" s="226" t="s">
        <v>205</v>
      </c>
      <c r="AA187" s="226"/>
      <c r="AB187" s="226"/>
      <c r="AC187" s="226"/>
      <c r="AD187" s="226"/>
      <c r="AE187" s="226"/>
      <c r="AF187" s="355"/>
      <c r="AG187" s="226" t="str">
        <f>IFERROR(IF(VLOOKUP(功能_33[[#This Row],[功能代號]],E:Q,11,FALSE)=0,"",VLOOKUP(功能_33[[#This Row],[功能代號]],E:Q,11,FALSE)),"")</f>
        <v>邵淑微</v>
      </c>
      <c r="AH187" s="226"/>
      <c r="AI187" s="226"/>
      <c r="AJ187" s="307"/>
      <c r="AK187" s="226"/>
      <c r="AN187" s="307" t="str">
        <f>VLOOKUP(功能_33[[#This Row],[功能代號]],工作表2!B:B,1,FALSE)</f>
        <v>L4500</v>
      </c>
    </row>
    <row r="188" spans="1:40" ht="14.25" hidden="1" customHeight="1">
      <c r="A188" s="224">
        <v>100</v>
      </c>
      <c r="B188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8" s="307" t="s">
        <v>104</v>
      </c>
      <c r="D188" s="307" t="s">
        <v>631</v>
      </c>
      <c r="E188" s="231" t="s">
        <v>634</v>
      </c>
      <c r="F188" s="307" t="s">
        <v>635</v>
      </c>
      <c r="G188" s="307"/>
      <c r="H188" s="308" t="s">
        <v>203</v>
      </c>
      <c r="I188" s="308" t="s">
        <v>447</v>
      </c>
      <c r="J188" s="229"/>
      <c r="K188" s="226">
        <v>44468</v>
      </c>
      <c r="L188" s="226">
        <v>44468</v>
      </c>
      <c r="M188" s="226" t="str">
        <f>IFERROR(IF(VLOOKUP(功能_33[[#This Row],[功能代號]],討論項目!A:H,8,FALSE)=0,"",VLOOKUP(功能_33[[#This Row],[功能代號]],討論項目!A:H,8,FALSE)),"")</f>
        <v/>
      </c>
      <c r="N188" s="308" t="s">
        <v>12</v>
      </c>
      <c r="O188" s="308" t="s">
        <v>24</v>
      </c>
      <c r="T188" s="308"/>
      <c r="V188" s="308"/>
      <c r="W188" s="308"/>
      <c r="X188" s="307" t="str">
        <f>VLOOKUP(功能_33[[#This Row],[User]],SKL放款!A:G,7,FALSE)</f>
        <v>放款服務課</v>
      </c>
      <c r="Y188" s="228">
        <f>IF(功能_33[[#This Row],[實際展示]]="","",功能_33[[#This Row],[實際展示]]+14)</f>
        <v>44482</v>
      </c>
      <c r="Z188" s="226" t="s">
        <v>205</v>
      </c>
      <c r="AA188" s="226"/>
      <c r="AB188" s="226"/>
      <c r="AC188" s="226"/>
      <c r="AD188" s="226"/>
      <c r="AE188" s="226"/>
      <c r="AF188" s="355"/>
      <c r="AG188" s="226" t="str">
        <f>IFERROR(IF(VLOOKUP(功能_33[[#This Row],[功能代號]],E:Q,11,FALSE)=0,"",VLOOKUP(功能_33[[#This Row],[功能代號]],E:Q,11,FALSE)),"")</f>
        <v>邵淑微</v>
      </c>
      <c r="AH188" s="226"/>
      <c r="AI188" s="226"/>
      <c r="AJ188" s="307"/>
      <c r="AK188" s="226"/>
      <c r="AN188" s="307" t="e">
        <f>VLOOKUP(功能_33[[#This Row],[功能代號]],工作表2!B:B,1,FALSE)</f>
        <v>#N/A</v>
      </c>
    </row>
    <row r="189" spans="1:40" ht="14.25" hidden="1" customHeight="1">
      <c r="A189" s="224">
        <v>101</v>
      </c>
      <c r="B189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07" t="s">
        <v>104</v>
      </c>
      <c r="D189" s="307" t="s">
        <v>631</v>
      </c>
      <c r="E189" s="231" t="s">
        <v>636</v>
      </c>
      <c r="F189" s="307" t="s">
        <v>637</v>
      </c>
      <c r="G189" s="307"/>
      <c r="H189" s="308" t="s">
        <v>203</v>
      </c>
      <c r="I189" s="308" t="s">
        <v>447</v>
      </c>
      <c r="J189" s="229"/>
      <c r="K189" s="226">
        <v>44468</v>
      </c>
      <c r="L189" s="226">
        <v>44468</v>
      </c>
      <c r="M189" s="226" t="str">
        <f>IFERROR(IF(VLOOKUP(功能_33[[#This Row],[功能代號]],討論項目!A:H,8,FALSE)=0,"",VLOOKUP(功能_33[[#This Row],[功能代號]],討論項目!A:H,8,FALSE)),"")</f>
        <v/>
      </c>
      <c r="N189" s="308" t="s">
        <v>12</v>
      </c>
      <c r="O189" s="308" t="s">
        <v>24</v>
      </c>
      <c r="T189" s="308"/>
      <c r="V189" s="308"/>
      <c r="W189" s="308"/>
      <c r="X189" s="307" t="str">
        <f>VLOOKUP(功能_33[[#This Row],[User]],SKL放款!A:G,7,FALSE)</f>
        <v>放款服務課</v>
      </c>
      <c r="Y189" s="228">
        <f>IF(功能_33[[#This Row],[實際展示]]="","",功能_33[[#This Row],[實際展示]]+14)</f>
        <v>44482</v>
      </c>
      <c r="Z189" s="226" t="s">
        <v>213</v>
      </c>
      <c r="AA189" s="226"/>
      <c r="AB189" s="226"/>
      <c r="AC189" s="226"/>
      <c r="AD189" s="226"/>
      <c r="AE189" s="226"/>
      <c r="AF189" s="355"/>
      <c r="AG189" s="226" t="str">
        <f>IFERROR(IF(VLOOKUP(功能_33[[#This Row],[功能代號]],E:Q,11,FALSE)=0,"",VLOOKUP(功能_33[[#This Row],[功能代號]],E:Q,11,FALSE)),"")</f>
        <v>邵淑微</v>
      </c>
      <c r="AH189" s="226"/>
      <c r="AI189" s="226"/>
      <c r="AJ189" s="307"/>
      <c r="AK189" s="226"/>
      <c r="AN189" s="307" t="str">
        <f>VLOOKUP(功能_33[[#This Row],[功能代號]],工作表2!B:B,1,FALSE)</f>
        <v>L4510</v>
      </c>
    </row>
    <row r="190" spans="1:40" ht="14.25" hidden="1" customHeight="1">
      <c r="A190" s="224">
        <v>102</v>
      </c>
      <c r="B190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07" t="s">
        <v>104</v>
      </c>
      <c r="D190" s="307" t="s">
        <v>631</v>
      </c>
      <c r="E190" s="231" t="s">
        <v>638</v>
      </c>
      <c r="F190" s="307" t="s">
        <v>639</v>
      </c>
      <c r="G190" s="307"/>
      <c r="H190" s="308" t="s">
        <v>203</v>
      </c>
      <c r="I190" s="308" t="s">
        <v>447</v>
      </c>
      <c r="J190" s="229"/>
      <c r="K190" s="226">
        <v>44468</v>
      </c>
      <c r="L190" s="226">
        <v>44468</v>
      </c>
      <c r="M190" s="226" t="str">
        <f>IFERROR(IF(VLOOKUP(功能_33[[#This Row],[功能代號]],討論項目!A:H,8,FALSE)=0,"",VLOOKUP(功能_33[[#This Row],[功能代號]],討論項目!A:H,8,FALSE)),"")</f>
        <v/>
      </c>
      <c r="N190" s="308" t="s">
        <v>12</v>
      </c>
      <c r="O190" s="308" t="s">
        <v>24</v>
      </c>
      <c r="T190" s="308"/>
      <c r="V190" s="308"/>
      <c r="W190" s="308"/>
      <c r="X190" s="307" t="str">
        <f>VLOOKUP(功能_33[[#This Row],[User]],SKL放款!A:G,7,FALSE)</f>
        <v>放款服務課</v>
      </c>
      <c r="Y190" s="228">
        <f>IF(功能_33[[#This Row],[實際展示]]="","",功能_33[[#This Row],[實際展示]]+14)</f>
        <v>44482</v>
      </c>
      <c r="Z190" s="226" t="s">
        <v>205</v>
      </c>
      <c r="AA190" s="226"/>
      <c r="AB190" s="226"/>
      <c r="AC190" s="226"/>
      <c r="AD190" s="226"/>
      <c r="AE190" s="226"/>
      <c r="AF190" s="355"/>
      <c r="AG190" s="226" t="str">
        <f>IFERROR(IF(VLOOKUP(功能_33[[#This Row],[功能代號]],E:Q,11,FALSE)=0,"",VLOOKUP(功能_33[[#This Row],[功能代號]],E:Q,11,FALSE)),"")</f>
        <v>邵淑微</v>
      </c>
      <c r="AH190" s="226"/>
      <c r="AI190" s="226"/>
      <c r="AJ190" s="307"/>
      <c r="AK190" s="226"/>
      <c r="AN190" s="307" t="e">
        <f>VLOOKUP(功能_33[[#This Row],[功能代號]],工作表2!B:B,1,FALSE)</f>
        <v>#N/A</v>
      </c>
    </row>
    <row r="191" spans="1:40" ht="14.25" hidden="1" customHeight="1">
      <c r="A191" s="224">
        <v>103</v>
      </c>
      <c r="B1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1" s="307" t="s">
        <v>104</v>
      </c>
      <c r="D191" s="307" t="s">
        <v>640</v>
      </c>
      <c r="E191" s="231" t="s">
        <v>641</v>
      </c>
      <c r="F191" s="307" t="s">
        <v>642</v>
      </c>
      <c r="G191" s="307"/>
      <c r="H191" s="308" t="s">
        <v>203</v>
      </c>
      <c r="I191" s="308" t="s">
        <v>447</v>
      </c>
      <c r="J191" s="229"/>
      <c r="K191" s="226">
        <v>44468</v>
      </c>
      <c r="L191" s="226">
        <v>44468</v>
      </c>
      <c r="M191" s="226" t="str">
        <f>IFERROR(IF(VLOOKUP(功能_33[[#This Row],[功能代號]],討論項目!A:H,8,FALSE)=0,"",VLOOKUP(功能_33[[#This Row],[功能代號]],討論項目!A:H,8,FALSE)),"")</f>
        <v/>
      </c>
      <c r="N191" s="308" t="s">
        <v>12</v>
      </c>
      <c r="O191" s="308" t="s">
        <v>24</v>
      </c>
      <c r="T191" s="308"/>
      <c r="V191" s="308"/>
      <c r="W191" s="308"/>
      <c r="X191" s="307" t="str">
        <f>VLOOKUP(功能_33[[#This Row],[User]],SKL放款!A:G,7,FALSE)</f>
        <v>放款服務課</v>
      </c>
      <c r="Y191" s="228">
        <f>IF(功能_33[[#This Row],[實際展示]]="","",功能_33[[#This Row],[實際展示]]+14)</f>
        <v>44482</v>
      </c>
      <c r="Z191" s="226" t="s">
        <v>205</v>
      </c>
      <c r="AA191" s="226"/>
      <c r="AB191" s="226"/>
      <c r="AC191" s="226"/>
      <c r="AD191" s="226"/>
      <c r="AE191" s="226"/>
      <c r="AF191" s="355"/>
      <c r="AG191" s="226" t="str">
        <f>IFERROR(IF(VLOOKUP(功能_33[[#This Row],[功能代號]],E:Q,11,FALSE)=0,"",VLOOKUP(功能_33[[#This Row],[功能代號]],E:Q,11,FALSE)),"")</f>
        <v>邵淑微</v>
      </c>
      <c r="AH191" s="226"/>
      <c r="AI191" s="226"/>
      <c r="AJ191" s="307"/>
      <c r="AK191" s="226"/>
      <c r="AN191" s="307" t="e">
        <f>VLOOKUP(功能_33[[#This Row],[功能代號]],工作表2!B:B,1,FALSE)</f>
        <v>#N/A</v>
      </c>
    </row>
    <row r="192" spans="1:40" ht="14.25" hidden="1" customHeight="1">
      <c r="A192" s="224">
        <v>104</v>
      </c>
      <c r="B192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07" t="s">
        <v>104</v>
      </c>
      <c r="D192" s="307" t="s">
        <v>631</v>
      </c>
      <c r="E192" s="231" t="s">
        <v>643</v>
      </c>
      <c r="F192" s="307" t="s">
        <v>644</v>
      </c>
      <c r="G192" s="307"/>
      <c r="H192" s="308" t="s">
        <v>203</v>
      </c>
      <c r="I192" s="308" t="s">
        <v>447</v>
      </c>
      <c r="J192" s="229"/>
      <c r="K192" s="226">
        <v>44468</v>
      </c>
      <c r="L192" s="226">
        <v>44468</v>
      </c>
      <c r="M192" s="226" t="str">
        <f>IFERROR(IF(VLOOKUP(功能_33[[#This Row],[功能代號]],討論項目!A:H,8,FALSE)=0,"",VLOOKUP(功能_33[[#This Row],[功能代號]],討論項目!A:H,8,FALSE)),"")</f>
        <v/>
      </c>
      <c r="N192" s="308" t="s">
        <v>12</v>
      </c>
      <c r="O192" s="308" t="s">
        <v>24</v>
      </c>
      <c r="T192" s="308"/>
      <c r="V192" s="308"/>
      <c r="W192" s="308"/>
      <c r="X192" s="307" t="str">
        <f>VLOOKUP(功能_33[[#This Row],[User]],SKL放款!A:G,7,FALSE)</f>
        <v>放款服務課</v>
      </c>
      <c r="Y192" s="228">
        <f>IF(功能_33[[#This Row],[實際展示]]="","",功能_33[[#This Row],[實際展示]]+14)</f>
        <v>44482</v>
      </c>
      <c r="Z192" s="226" t="s">
        <v>213</v>
      </c>
      <c r="AA192" s="226"/>
      <c r="AB192" s="226"/>
      <c r="AC192" s="226"/>
      <c r="AD192" s="226"/>
      <c r="AE192" s="226"/>
      <c r="AF192" s="355"/>
      <c r="AG192" s="226" t="str">
        <f>IFERROR(IF(VLOOKUP(功能_33[[#This Row],[功能代號]],E:Q,11,FALSE)=0,"",VLOOKUP(功能_33[[#This Row],[功能代號]],E:Q,11,FALSE)),"")</f>
        <v>邵淑微</v>
      </c>
      <c r="AH192" s="226"/>
      <c r="AI192" s="226"/>
      <c r="AJ192" s="307"/>
      <c r="AK192" s="226"/>
      <c r="AN192" s="307" t="str">
        <f>VLOOKUP(功能_33[[#This Row],[功能代號]],工作表2!B:B,1,FALSE)</f>
        <v>L4511</v>
      </c>
    </row>
    <row r="193" spans="1:40" ht="14.25" hidden="1" customHeight="1">
      <c r="A193" s="224">
        <v>217</v>
      </c>
      <c r="B193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3" s="307" t="s">
        <v>104</v>
      </c>
      <c r="D193" s="307" t="s">
        <v>2799</v>
      </c>
      <c r="E193" s="308" t="s">
        <v>645</v>
      </c>
      <c r="F193" s="307" t="s">
        <v>646</v>
      </c>
      <c r="G193" s="307"/>
      <c r="H193" s="308" t="s">
        <v>203</v>
      </c>
      <c r="I193" s="308" t="s">
        <v>447</v>
      </c>
      <c r="J193" s="229"/>
      <c r="K193" s="226">
        <v>44469</v>
      </c>
      <c r="L193" s="226">
        <v>44468</v>
      </c>
      <c r="M193" s="226" t="str">
        <f>IFERROR(IF(VLOOKUP(功能_33[[#This Row],[功能代號]],討論項目!A:H,8,FALSE)=0,"",VLOOKUP(功能_33[[#This Row],[功能代號]],討論項目!A:H,8,FALSE)),"")</f>
        <v/>
      </c>
      <c r="N193" s="308" t="s">
        <v>8</v>
      </c>
      <c r="O193" s="308" t="s">
        <v>11</v>
      </c>
      <c r="T193" s="308"/>
      <c r="V193" s="308"/>
      <c r="W193" s="308"/>
      <c r="X193" s="307" t="str">
        <f>VLOOKUP(功能_33[[#This Row],[User]],SKL放款!A:G,7,FALSE)</f>
        <v>放款服務課</v>
      </c>
      <c r="Y193" s="228">
        <f>IF(功能_33[[#This Row],[實際展示]]="","",功能_33[[#This Row],[實際展示]]+14)</f>
        <v>44482</v>
      </c>
      <c r="Z193" s="226" t="s">
        <v>213</v>
      </c>
      <c r="AA193" s="226">
        <v>44523</v>
      </c>
      <c r="AB193" s="226"/>
      <c r="AC193" s="226"/>
      <c r="AD193" s="226"/>
      <c r="AE193" s="226"/>
      <c r="AF193" s="355"/>
      <c r="AG193" s="226" t="str">
        <f>IFERROR(IF(VLOOKUP(功能_33[[#This Row],[功能代號]],E:Q,11,FALSE)=0,"",VLOOKUP(功能_33[[#This Row],[功能代號]],E:Q,11,FALSE)),"")</f>
        <v>蔡珮瑜</v>
      </c>
      <c r="AH193" s="226"/>
      <c r="AI193" s="226"/>
      <c r="AJ193" s="307"/>
      <c r="AK193" s="228" t="s">
        <v>647</v>
      </c>
      <c r="AN193" s="307" t="str">
        <f>VLOOKUP(功能_33[[#This Row],[功能代號]],工作表2!B:B,1,FALSE)</f>
        <v>L4200</v>
      </c>
    </row>
    <row r="194" spans="1:40" ht="14.25" hidden="1" customHeight="1">
      <c r="A194" s="224">
        <v>105</v>
      </c>
      <c r="B194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307" t="s">
        <v>104</v>
      </c>
      <c r="D194" s="307" t="s">
        <v>631</v>
      </c>
      <c r="E194" s="231" t="s">
        <v>648</v>
      </c>
      <c r="F194" s="307" t="s">
        <v>649</v>
      </c>
      <c r="G194" s="307"/>
      <c r="H194" s="308" t="s">
        <v>203</v>
      </c>
      <c r="I194" s="308" t="s">
        <v>447</v>
      </c>
      <c r="J194" s="229"/>
      <c r="K194" s="226">
        <v>44473</v>
      </c>
      <c r="L194" s="226">
        <v>44468</v>
      </c>
      <c r="M194" s="226" t="str">
        <f>IFERROR(IF(VLOOKUP(功能_33[[#This Row],[功能代號]],討論項目!A:H,8,FALSE)=0,"",VLOOKUP(功能_33[[#This Row],[功能代號]],討論項目!A:H,8,FALSE)),"")</f>
        <v/>
      </c>
      <c r="N194" s="308" t="s">
        <v>12</v>
      </c>
      <c r="O194" s="308" t="s">
        <v>24</v>
      </c>
      <c r="T194" s="308"/>
      <c r="V194" s="308"/>
      <c r="W194" s="308"/>
      <c r="X194" s="307" t="str">
        <f>VLOOKUP(功能_33[[#This Row],[User]],SKL放款!A:G,7,FALSE)</f>
        <v>放款服務課</v>
      </c>
      <c r="Y194" s="228">
        <f>IF(功能_33[[#This Row],[實際展示]]="","",功能_33[[#This Row],[實際展示]]+14)</f>
        <v>44482</v>
      </c>
      <c r="Z194" s="226" t="s">
        <v>213</v>
      </c>
      <c r="AA194" s="226"/>
      <c r="AB194" s="226"/>
      <c r="AC194" s="226"/>
      <c r="AD194" s="226"/>
      <c r="AE194" s="226"/>
      <c r="AF194" s="355"/>
      <c r="AG194" s="226" t="str">
        <f>IFERROR(IF(VLOOKUP(功能_33[[#This Row],[功能代號]],E:Q,11,FALSE)=0,"",VLOOKUP(功能_33[[#This Row],[功能代號]],E:Q,11,FALSE)),"")</f>
        <v>邵淑微</v>
      </c>
      <c r="AH194" s="226"/>
      <c r="AI194" s="226"/>
      <c r="AJ194" s="307"/>
      <c r="AK194" s="226"/>
      <c r="AN194" s="307" t="str">
        <f>VLOOKUP(功能_33[[#This Row],[功能代號]],工作表2!B:B,1,FALSE)</f>
        <v>L4520</v>
      </c>
    </row>
    <row r="195" spans="1:40" ht="14.25" hidden="1" customHeight="1">
      <c r="A195" s="224">
        <v>230</v>
      </c>
      <c r="B19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307" t="s">
        <v>104</v>
      </c>
      <c r="D195" s="307" t="s">
        <v>640</v>
      </c>
      <c r="E195" s="308" t="s">
        <v>650</v>
      </c>
      <c r="F195" s="307" t="s">
        <v>651</v>
      </c>
      <c r="G195" s="307"/>
      <c r="H195" s="308" t="s">
        <v>203</v>
      </c>
      <c r="I195" s="308" t="s">
        <v>447</v>
      </c>
      <c r="J195" s="229"/>
      <c r="K195" s="226">
        <v>44473</v>
      </c>
      <c r="L195" s="226">
        <v>44468</v>
      </c>
      <c r="M195" s="226" t="str">
        <f>IFERROR(IF(VLOOKUP(功能_33[[#This Row],[功能代號]],討論項目!A:H,8,FALSE)=0,"",VLOOKUP(功能_33[[#This Row],[功能代號]],討論項目!A:H,8,FALSE)),"")</f>
        <v/>
      </c>
      <c r="N195" s="308" t="s">
        <v>8</v>
      </c>
      <c r="O195" s="308" t="s">
        <v>24</v>
      </c>
      <c r="T195" s="308"/>
      <c r="V195" s="308"/>
      <c r="W195" s="308"/>
      <c r="X195" s="307" t="str">
        <f>VLOOKUP(功能_33[[#This Row],[User]],SKL放款!A:G,7,FALSE)</f>
        <v>放款服務課</v>
      </c>
      <c r="Y195" s="228">
        <f>IF(功能_33[[#This Row],[實際展示]]="","",功能_33[[#This Row],[實際展示]]+14)</f>
        <v>44482</v>
      </c>
      <c r="Z195" s="226" t="s">
        <v>205</v>
      </c>
      <c r="AA195" s="226"/>
      <c r="AB195" s="226"/>
      <c r="AC195" s="226"/>
      <c r="AD195" s="226"/>
      <c r="AE195" s="226"/>
      <c r="AF195" s="355"/>
      <c r="AG195" s="226" t="str">
        <f>IFERROR(IF(VLOOKUP(功能_33[[#This Row],[功能代號]],E:Q,11,FALSE)=0,"",VLOOKUP(功能_33[[#This Row],[功能代號]],E:Q,11,FALSE)),"")</f>
        <v>邵淑微</v>
      </c>
      <c r="AH195" s="226"/>
      <c r="AI195" s="226"/>
      <c r="AJ195" s="307"/>
      <c r="AK195" s="226"/>
      <c r="AN195" s="307" t="e">
        <f>VLOOKUP(功能_33[[#This Row],[功能代號]],工作表2!B:B,1,FALSE)</f>
        <v>#N/A</v>
      </c>
    </row>
    <row r="196" spans="1:40" ht="14.25" hidden="1" customHeight="1">
      <c r="A196" s="224">
        <v>231</v>
      </c>
      <c r="B19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07" t="s">
        <v>104</v>
      </c>
      <c r="D196" s="307" t="s">
        <v>2799</v>
      </c>
      <c r="E196" s="308" t="s">
        <v>652</v>
      </c>
      <c r="F196" s="307" t="s">
        <v>653</v>
      </c>
      <c r="G196" s="307"/>
      <c r="H196" s="308" t="s">
        <v>203</v>
      </c>
      <c r="I196" s="308" t="s">
        <v>447</v>
      </c>
      <c r="J196" s="229"/>
      <c r="K196" s="226">
        <v>44470</v>
      </c>
      <c r="L196" s="226">
        <v>44470</v>
      </c>
      <c r="M196" s="226" t="str">
        <f>IFERROR(IF(VLOOKUP(功能_33[[#This Row],[功能代號]],討論項目!A:H,8,FALSE)=0,"",VLOOKUP(功能_33[[#This Row],[功能代號]],討論項目!A:H,8,FALSE)),"")</f>
        <v/>
      </c>
      <c r="N196" s="308" t="s">
        <v>8</v>
      </c>
      <c r="O196" s="308" t="s">
        <v>24</v>
      </c>
      <c r="T196" s="308"/>
      <c r="V196" s="308"/>
      <c r="W196" s="308"/>
      <c r="X196" s="307" t="str">
        <f>VLOOKUP(功能_33[[#This Row],[User]],SKL放款!A:G,7,FALSE)</f>
        <v>放款服務課</v>
      </c>
      <c r="Y196" s="228">
        <f>IF(功能_33[[#This Row],[實際展示]]="","",功能_33[[#This Row],[實際展示]]+14)</f>
        <v>44484</v>
      </c>
      <c r="Z196" s="226" t="s">
        <v>205</v>
      </c>
      <c r="AA196" s="226">
        <v>44524</v>
      </c>
      <c r="AB196" s="226"/>
      <c r="AC196" s="226"/>
      <c r="AD196" s="226"/>
      <c r="AE196" s="226"/>
      <c r="AF196" s="355"/>
      <c r="AG196" s="226" t="str">
        <f>IFERROR(IF(VLOOKUP(功能_33[[#This Row],[功能代號]],E:Q,11,FALSE)=0,"",VLOOKUP(功能_33[[#This Row],[功能代號]],E:Q,11,FALSE)),"")</f>
        <v>邵淑微</v>
      </c>
      <c r="AH196" s="226"/>
      <c r="AI196" s="226"/>
      <c r="AJ196" s="307"/>
      <c r="AK196" s="226"/>
      <c r="AN196" s="307" t="e">
        <f>VLOOKUP(功能_33[[#This Row],[功能代號]],工作表2!B:B,1,FALSE)</f>
        <v>#N/A</v>
      </c>
    </row>
    <row r="197" spans="1:40" ht="14.25" hidden="1" customHeight="1">
      <c r="A197" s="224">
        <v>218</v>
      </c>
      <c r="B197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7" s="307" t="s">
        <v>104</v>
      </c>
      <c r="D197" s="307" t="s">
        <v>2799</v>
      </c>
      <c r="E197" s="308" t="s">
        <v>654</v>
      </c>
      <c r="F197" s="307" t="s">
        <v>655</v>
      </c>
      <c r="G197" s="307"/>
      <c r="H197" s="308" t="s">
        <v>203</v>
      </c>
      <c r="I197" s="308" t="s">
        <v>447</v>
      </c>
      <c r="J197" s="229"/>
      <c r="K197" s="226">
        <v>44469</v>
      </c>
      <c r="L197" s="268">
        <v>44484</v>
      </c>
      <c r="M197" s="226" t="str">
        <f>IFERROR(IF(VLOOKUP(功能_33[[#This Row],[功能代號]],討論項目!A:H,8,FALSE)=0,"",VLOOKUP(功能_33[[#This Row],[功能代號]],討論項目!A:H,8,FALSE)),"")</f>
        <v/>
      </c>
      <c r="N197" s="308" t="s">
        <v>8</v>
      </c>
      <c r="O197" s="308" t="s">
        <v>11</v>
      </c>
      <c r="P197" s="277" t="s">
        <v>23</v>
      </c>
      <c r="T197" s="308"/>
      <c r="V197" s="308"/>
      <c r="W197" s="308"/>
      <c r="X197" s="307" t="str">
        <f>VLOOKUP(功能_33[[#This Row],[User]],SKL放款!A:G,7,FALSE)</f>
        <v>放款服務課</v>
      </c>
      <c r="Y197" s="228">
        <f>IF(功能_33[[#This Row],[實際展示]]="","",功能_33[[#This Row],[實際展示]]+14)</f>
        <v>44498</v>
      </c>
      <c r="Z197" s="226" t="s">
        <v>213</v>
      </c>
      <c r="AA197" s="226">
        <v>44523</v>
      </c>
      <c r="AB197" s="226"/>
      <c r="AC197" s="226"/>
      <c r="AD197" s="226"/>
      <c r="AE197" s="226"/>
      <c r="AF197" s="355"/>
      <c r="AG197" s="226" t="str">
        <f>IFERROR(IF(VLOOKUP(功能_33[[#This Row],[功能代號]],E:Q,11,FALSE)=0,"",VLOOKUP(功能_33[[#This Row],[功能代號]],E:Q,11,FALSE)),"")</f>
        <v>蔡珮瑜</v>
      </c>
      <c r="AH197" s="226"/>
      <c r="AI197" s="226"/>
      <c r="AJ197" s="307"/>
      <c r="AK197" s="228" t="s">
        <v>656</v>
      </c>
      <c r="AN197" s="307" t="str">
        <f>VLOOKUP(功能_33[[#This Row],[功能代號]],工作表2!B:B,1,FALSE)</f>
        <v>L4002</v>
      </c>
    </row>
    <row r="198" spans="1:40" ht="14.25" hidden="1" customHeight="1">
      <c r="A198" s="224">
        <v>219</v>
      </c>
      <c r="B1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07" t="s">
        <v>104</v>
      </c>
      <c r="D198" s="307" t="s">
        <v>2799</v>
      </c>
      <c r="E198" s="308" t="s">
        <v>657</v>
      </c>
      <c r="F198" s="307" t="s">
        <v>658</v>
      </c>
      <c r="G198" s="307"/>
      <c r="H198" s="308" t="s">
        <v>203</v>
      </c>
      <c r="I198" s="308" t="s">
        <v>447</v>
      </c>
      <c r="J198" s="229"/>
      <c r="K198" s="226">
        <v>44469</v>
      </c>
      <c r="L198" s="226">
        <v>44484</v>
      </c>
      <c r="M198" s="226" t="str">
        <f>IFERROR(IF(VLOOKUP(功能_33[[#This Row],[功能代號]],討論項目!A:H,8,FALSE)=0,"",VLOOKUP(功能_33[[#This Row],[功能代號]],討論項目!A:H,8,FALSE)),"")</f>
        <v/>
      </c>
      <c r="N198" s="308" t="s">
        <v>8</v>
      </c>
      <c r="O198" s="308" t="s">
        <v>22</v>
      </c>
      <c r="T198" s="308"/>
      <c r="V198" s="308"/>
      <c r="W198" s="308"/>
      <c r="X198" s="307" t="str">
        <f>VLOOKUP(功能_33[[#This Row],[User]],SKL放款!A:G,7,FALSE)</f>
        <v>放款服務課</v>
      </c>
      <c r="Y198" s="228">
        <f>IF(功能_33[[#This Row],[實際展示]]="","",功能_33[[#This Row],[實際展示]]+14)</f>
        <v>44498</v>
      </c>
      <c r="Z198" s="226" t="s">
        <v>205</v>
      </c>
      <c r="AA198" s="226">
        <v>44523</v>
      </c>
      <c r="AB198" s="226"/>
      <c r="AC198" s="226"/>
      <c r="AD198" s="226"/>
      <c r="AE198" s="226"/>
      <c r="AF198" s="355"/>
      <c r="AG198" s="226" t="str">
        <f>IFERROR(IF(VLOOKUP(功能_33[[#This Row],[功能代號]],E:Q,11,FALSE)=0,"",VLOOKUP(功能_33[[#This Row],[功能代號]],E:Q,11,FALSE)),"")</f>
        <v>許慧玉</v>
      </c>
      <c r="AH198" s="226"/>
      <c r="AI198" s="226"/>
      <c r="AJ198" s="307"/>
      <c r="AK198" s="226"/>
      <c r="AN198" s="307" t="e">
        <f>VLOOKUP(功能_33[[#This Row],[功能代號]],工作表2!B:B,1,FALSE)</f>
        <v>#N/A</v>
      </c>
    </row>
    <row r="199" spans="1:40" ht="14.25" hidden="1" customHeight="1">
      <c r="A199" s="224">
        <v>220</v>
      </c>
      <c r="B1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307" t="s">
        <v>104</v>
      </c>
      <c r="D199" s="307" t="s">
        <v>2799</v>
      </c>
      <c r="E199" s="308" t="s">
        <v>659</v>
      </c>
      <c r="F199" s="307" t="s">
        <v>660</v>
      </c>
      <c r="G199" s="307"/>
      <c r="H199" s="308" t="s">
        <v>203</v>
      </c>
      <c r="I199" s="308" t="s">
        <v>447</v>
      </c>
      <c r="J199" s="229"/>
      <c r="K199" s="226">
        <v>44469</v>
      </c>
      <c r="L199" s="226">
        <v>44484</v>
      </c>
      <c r="M199" s="226" t="str">
        <f>IFERROR(IF(VLOOKUP(功能_33[[#This Row],[功能代號]],討論項目!A:H,8,FALSE)=0,"",VLOOKUP(功能_33[[#This Row],[功能代號]],討論項目!A:H,8,FALSE)),"")</f>
        <v/>
      </c>
      <c r="N199" s="308" t="s">
        <v>8</v>
      </c>
      <c r="O199" s="308" t="s">
        <v>22</v>
      </c>
      <c r="T199" s="308"/>
      <c r="V199" s="308"/>
      <c r="W199" s="308"/>
      <c r="X199" s="307" t="str">
        <f>VLOOKUP(功能_33[[#This Row],[User]],SKL放款!A:G,7,FALSE)</f>
        <v>放款服務課</v>
      </c>
      <c r="Y199" s="228">
        <f>IF(功能_33[[#This Row],[實際展示]]="","",功能_33[[#This Row],[實際展示]]+14)</f>
        <v>44498</v>
      </c>
      <c r="Z199" s="226" t="s">
        <v>205</v>
      </c>
      <c r="AA199" s="226">
        <v>44523</v>
      </c>
      <c r="AB199" s="226"/>
      <c r="AC199" s="226"/>
      <c r="AD199" s="226"/>
      <c r="AE199" s="226"/>
      <c r="AF199" s="355"/>
      <c r="AG199" s="226" t="str">
        <f>IFERROR(IF(VLOOKUP(功能_33[[#This Row],[功能代號]],E:Q,11,FALSE)=0,"",VLOOKUP(功能_33[[#This Row],[功能代號]],E:Q,11,FALSE)),"")</f>
        <v>許慧玉</v>
      </c>
      <c r="AH199" s="226"/>
      <c r="AI199" s="226"/>
      <c r="AJ199" s="307"/>
      <c r="AK199" s="226"/>
      <c r="AN199" s="307" t="e">
        <f>VLOOKUP(功能_33[[#This Row],[功能代號]],工作表2!B:B,1,FALSE)</f>
        <v>#N/A</v>
      </c>
    </row>
    <row r="200" spans="1:40" ht="14.25" hidden="1" customHeight="1">
      <c r="A200" s="224">
        <v>221</v>
      </c>
      <c r="B2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07" t="s">
        <v>104</v>
      </c>
      <c r="D200" s="307" t="s">
        <v>2799</v>
      </c>
      <c r="E200" s="308" t="s">
        <v>661</v>
      </c>
      <c r="F200" s="307" t="s">
        <v>662</v>
      </c>
      <c r="G200" s="307"/>
      <c r="H200" s="308" t="s">
        <v>203</v>
      </c>
      <c r="I200" s="308" t="s">
        <v>447</v>
      </c>
      <c r="J200" s="229"/>
      <c r="K200" s="226">
        <v>44469</v>
      </c>
      <c r="L200" s="226">
        <v>44484</v>
      </c>
      <c r="M200" s="226" t="str">
        <f>IFERROR(IF(VLOOKUP(功能_33[[#This Row],[功能代號]],討論項目!A:H,8,FALSE)=0,"",VLOOKUP(功能_33[[#This Row],[功能代號]],討論項目!A:H,8,FALSE)),"")</f>
        <v/>
      </c>
      <c r="N200" s="308" t="s">
        <v>8</v>
      </c>
      <c r="O200" s="308" t="s">
        <v>11</v>
      </c>
      <c r="P200" s="277" t="s">
        <v>23</v>
      </c>
      <c r="T200" s="308"/>
      <c r="V200" s="308"/>
      <c r="W200" s="308"/>
      <c r="X200" s="307" t="str">
        <f>VLOOKUP(功能_33[[#This Row],[User]],SKL放款!A:G,7,FALSE)</f>
        <v>放款服務課</v>
      </c>
      <c r="Y200" s="228">
        <f>IF(功能_33[[#This Row],[實際展示]]="","",功能_33[[#This Row],[實際展示]]+14)</f>
        <v>44498</v>
      </c>
      <c r="Z200" s="226" t="s">
        <v>213</v>
      </c>
      <c r="AA200" s="226">
        <v>44523</v>
      </c>
      <c r="AB200" s="226"/>
      <c r="AC200" s="226"/>
      <c r="AD200" s="226"/>
      <c r="AE200" s="226"/>
      <c r="AF200" s="355"/>
      <c r="AG200" s="226" t="str">
        <f>IFERROR(IF(VLOOKUP(功能_33[[#This Row],[功能代號]],E:Q,11,FALSE)=0,"",VLOOKUP(功能_33[[#This Row],[功能代號]],E:Q,11,FALSE)),"")</f>
        <v>蔡珮瑜</v>
      </c>
      <c r="AH200" s="226"/>
      <c r="AI200" s="226"/>
      <c r="AJ200" s="307"/>
      <c r="AK200" s="228" t="s">
        <v>656</v>
      </c>
      <c r="AN200" s="307" t="str">
        <f>VLOOKUP(功能_33[[#This Row],[功能代號]],工作表2!B:B,1,FALSE)</f>
        <v>L4920</v>
      </c>
    </row>
    <row r="201" spans="1:40" ht="14.25" hidden="1" customHeight="1">
      <c r="A201" s="224">
        <v>222</v>
      </c>
      <c r="B201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1" s="307" t="s">
        <v>104</v>
      </c>
      <c r="D201" s="307" t="s">
        <v>2799</v>
      </c>
      <c r="E201" s="308" t="s">
        <v>663</v>
      </c>
      <c r="F201" s="307" t="s">
        <v>664</v>
      </c>
      <c r="G201" s="307"/>
      <c r="H201" s="308" t="s">
        <v>203</v>
      </c>
      <c r="I201" s="308" t="s">
        <v>447</v>
      </c>
      <c r="J201" s="229"/>
      <c r="K201" s="226">
        <v>44469</v>
      </c>
      <c r="L201" s="226">
        <v>44484</v>
      </c>
      <c r="M201" s="226" t="str">
        <f>IFERROR(IF(VLOOKUP(功能_33[[#This Row],[功能代號]],討論項目!A:H,8,FALSE)=0,"",VLOOKUP(功能_33[[#This Row],[功能代號]],討論項目!A:H,8,FALSE)),"")</f>
        <v/>
      </c>
      <c r="N201" s="308" t="s">
        <v>8</v>
      </c>
      <c r="O201" s="308" t="s">
        <v>11</v>
      </c>
      <c r="T201" s="308"/>
      <c r="V201" s="308"/>
      <c r="W201" s="308"/>
      <c r="X201" s="307" t="str">
        <f>VLOOKUP(功能_33[[#This Row],[User]],SKL放款!A:G,7,FALSE)</f>
        <v>放款服務課</v>
      </c>
      <c r="Y201" s="228">
        <f>IF(功能_33[[#This Row],[實際展示]]="","",功能_33[[#This Row],[實際展示]]+14)</f>
        <v>44498</v>
      </c>
      <c r="Z201" s="226" t="s">
        <v>213</v>
      </c>
      <c r="AA201" s="226">
        <v>44523</v>
      </c>
      <c r="AB201" s="226"/>
      <c r="AC201" s="226"/>
      <c r="AD201" s="226"/>
      <c r="AE201" s="226"/>
      <c r="AF201" s="355"/>
      <c r="AG201" s="226" t="str">
        <f>IFERROR(IF(VLOOKUP(功能_33[[#This Row],[功能代號]],E:Q,11,FALSE)=0,"",VLOOKUP(功能_33[[#This Row],[功能代號]],E:Q,11,FALSE)),"")</f>
        <v>蔡珮瑜</v>
      </c>
      <c r="AH201" s="226"/>
      <c r="AI201" s="226"/>
      <c r="AJ201" s="307"/>
      <c r="AK201" s="228" t="s">
        <v>656</v>
      </c>
      <c r="AN201" s="307" t="str">
        <f>VLOOKUP(功能_33[[#This Row],[功能代號]],工作表2!B:B,1,FALSE)</f>
        <v>L4925</v>
      </c>
    </row>
    <row r="202" spans="1:40" ht="14.25" hidden="1" customHeight="1">
      <c r="A202" s="224">
        <v>226</v>
      </c>
      <c r="B2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07" t="s">
        <v>104</v>
      </c>
      <c r="D202" s="307" t="s">
        <v>2799</v>
      </c>
      <c r="E202" s="308" t="s">
        <v>665</v>
      </c>
      <c r="F202" s="307" t="s">
        <v>666</v>
      </c>
      <c r="G202" s="307"/>
      <c r="H202" s="308" t="s">
        <v>203</v>
      </c>
      <c r="I202" s="308" t="s">
        <v>447</v>
      </c>
      <c r="J202" s="229"/>
      <c r="K202" s="226">
        <v>44469</v>
      </c>
      <c r="L202" s="226">
        <v>44484</v>
      </c>
      <c r="M202" s="226" t="str">
        <f>IFERROR(IF(VLOOKUP(功能_33[[#This Row],[功能代號]],討論項目!A:H,8,FALSE)=0,"",VLOOKUP(功能_33[[#This Row],[功能代號]],討論項目!A:H,8,FALSE)),"")</f>
        <v/>
      </c>
      <c r="N202" s="308" t="s">
        <v>8</v>
      </c>
      <c r="O202" s="308" t="s">
        <v>23</v>
      </c>
      <c r="T202" s="308"/>
      <c r="V202" s="308"/>
      <c r="W202" s="308"/>
      <c r="X202" s="307" t="str">
        <f>VLOOKUP(功能_33[[#This Row],[User]],SKL放款!A:G,7,FALSE)</f>
        <v>放款服務課</v>
      </c>
      <c r="Y202" s="228">
        <f>IF(功能_33[[#This Row],[實際展示]]="","",功能_33[[#This Row],[實際展示]]+14)</f>
        <v>44498</v>
      </c>
      <c r="Z202" s="226" t="s">
        <v>213</v>
      </c>
      <c r="AA202" s="226">
        <v>44523</v>
      </c>
      <c r="AB202" s="226"/>
      <c r="AC202" s="226"/>
      <c r="AD202" s="226"/>
      <c r="AE202" s="226"/>
      <c r="AF202" s="355"/>
      <c r="AG202" s="226" t="str">
        <f>IFERROR(IF(VLOOKUP(功能_33[[#This Row],[功能代號]],E:Q,11,FALSE)=0,"",VLOOKUP(功能_33[[#This Row],[功能代號]],E:Q,11,FALSE)),"")</f>
        <v>宋郁宏</v>
      </c>
      <c r="AH202" s="226"/>
      <c r="AI202" s="226"/>
      <c r="AJ202" s="307"/>
      <c r="AK202" s="226"/>
      <c r="AN202" s="307" t="str">
        <f>VLOOKUP(功能_33[[#This Row],[功能代號]],工作表2!B:B,1,FALSE)</f>
        <v>L4930</v>
      </c>
    </row>
    <row r="203" spans="1:40" ht="14.25" hidden="1" customHeight="1">
      <c r="A203" s="224">
        <v>228</v>
      </c>
      <c r="B20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3" s="307" t="s">
        <v>104</v>
      </c>
      <c r="D203" s="307" t="s">
        <v>2799</v>
      </c>
      <c r="E203" s="308" t="s">
        <v>667</v>
      </c>
      <c r="F203" s="307" t="s">
        <v>668</v>
      </c>
      <c r="G203" s="307"/>
      <c r="H203" s="308" t="s">
        <v>203</v>
      </c>
      <c r="I203" s="308" t="s">
        <v>447</v>
      </c>
      <c r="J203" s="229"/>
      <c r="K203" s="226">
        <v>44469</v>
      </c>
      <c r="L203" s="226">
        <v>44484</v>
      </c>
      <c r="M203" s="226" t="str">
        <f>IFERROR(IF(VLOOKUP(功能_33[[#This Row],[功能代號]],討論項目!A:H,8,FALSE)=0,"",VLOOKUP(功能_33[[#This Row],[功能代號]],討論項目!A:H,8,FALSE)),"")</f>
        <v/>
      </c>
      <c r="N203" s="308" t="s">
        <v>8</v>
      </c>
      <c r="O203" s="308" t="s">
        <v>22</v>
      </c>
      <c r="T203" s="308"/>
      <c r="V203" s="308"/>
      <c r="W203" s="308"/>
      <c r="X203" s="307" t="str">
        <f>VLOOKUP(功能_33[[#This Row],[User]],SKL放款!A:G,7,FALSE)</f>
        <v>放款服務課</v>
      </c>
      <c r="Y203" s="228">
        <f>IF(功能_33[[#This Row],[實際展示]]="","",功能_33[[#This Row],[實際展示]]+14)</f>
        <v>44498</v>
      </c>
      <c r="Z203" s="226" t="s">
        <v>205</v>
      </c>
      <c r="AA203" s="226">
        <v>44523</v>
      </c>
      <c r="AB203" s="226"/>
      <c r="AC203" s="226"/>
      <c r="AD203" s="226"/>
      <c r="AE203" s="226"/>
      <c r="AF203" s="355"/>
      <c r="AG203" s="226" t="str">
        <f>IFERROR(IF(VLOOKUP(功能_33[[#This Row],[功能代號]],E:Q,11,FALSE)=0,"",VLOOKUP(功能_33[[#This Row],[功能代號]],E:Q,11,FALSE)),"")</f>
        <v>許慧玉</v>
      </c>
      <c r="AH203" s="226"/>
      <c r="AI203" s="226"/>
      <c r="AJ203" s="307"/>
      <c r="AK203" s="226"/>
      <c r="AN203" s="307" t="e">
        <f>VLOOKUP(功能_33[[#This Row],[功能代號]],工作表2!B:B,1,FALSE)</f>
        <v>#N/A</v>
      </c>
    </row>
    <row r="204" spans="1:40" ht="14.25" hidden="1" customHeight="1">
      <c r="A204" s="224">
        <v>229</v>
      </c>
      <c r="B2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07" t="s">
        <v>104</v>
      </c>
      <c r="D204" s="307" t="s">
        <v>2799</v>
      </c>
      <c r="E204" s="308" t="s">
        <v>669</v>
      </c>
      <c r="F204" s="307" t="s">
        <v>670</v>
      </c>
      <c r="G204" s="307"/>
      <c r="H204" s="308" t="s">
        <v>203</v>
      </c>
      <c r="I204" s="308" t="s">
        <v>447</v>
      </c>
      <c r="J204" s="229"/>
      <c r="K204" s="226">
        <v>44469</v>
      </c>
      <c r="L204" s="226">
        <v>44484</v>
      </c>
      <c r="M204" s="226" t="str">
        <f>IFERROR(IF(VLOOKUP(功能_33[[#This Row],[功能代號]],討論項目!A:H,8,FALSE)=0,"",VLOOKUP(功能_33[[#This Row],[功能代號]],討論項目!A:H,8,FALSE)),"")</f>
        <v/>
      </c>
      <c r="N204" s="308" t="s">
        <v>8</v>
      </c>
      <c r="O204" s="308" t="s">
        <v>23</v>
      </c>
      <c r="T204" s="308"/>
      <c r="V204" s="308"/>
      <c r="W204" s="308"/>
      <c r="X204" s="307" t="str">
        <f>VLOOKUP(功能_33[[#This Row],[User]],SKL放款!A:G,7,FALSE)</f>
        <v>放款服務課</v>
      </c>
      <c r="Y204" s="228">
        <f>IF(功能_33[[#This Row],[實際展示]]="","",功能_33[[#This Row],[實際展示]]+14)</f>
        <v>44498</v>
      </c>
      <c r="Z204" s="226" t="s">
        <v>205</v>
      </c>
      <c r="AA204" s="226">
        <v>44523</v>
      </c>
      <c r="AB204" s="226"/>
      <c r="AC204" s="226"/>
      <c r="AD204" s="226"/>
      <c r="AE204" s="226"/>
      <c r="AF204" s="355"/>
      <c r="AG204" s="226" t="str">
        <f>IFERROR(IF(VLOOKUP(功能_33[[#This Row],[功能代號]],E:Q,11,FALSE)=0,"",VLOOKUP(功能_33[[#This Row],[功能代號]],E:Q,11,FALSE)),"")</f>
        <v>宋郁宏</v>
      </c>
      <c r="AH204" s="226"/>
      <c r="AI204" s="226"/>
      <c r="AJ204" s="307"/>
      <c r="AK204" s="226"/>
      <c r="AN204" s="307" t="e">
        <f>VLOOKUP(功能_33[[#This Row],[功能代號]],工作表2!B:B,1,FALSE)</f>
        <v>#N/A</v>
      </c>
    </row>
    <row r="205" spans="1:40" ht="14.25" hidden="1" customHeight="1">
      <c r="A205" s="224">
        <v>98</v>
      </c>
      <c r="B20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5" s="307" t="s">
        <v>104</v>
      </c>
      <c r="D205" s="307" t="s">
        <v>2792</v>
      </c>
      <c r="E205" s="308" t="s">
        <v>671</v>
      </c>
      <c r="F205" s="307" t="s">
        <v>672</v>
      </c>
      <c r="G205" s="307"/>
      <c r="H205" s="308" t="s">
        <v>203</v>
      </c>
      <c r="I205" s="308" t="s">
        <v>447</v>
      </c>
      <c r="J205" s="229"/>
      <c r="K205" s="226">
        <v>44469</v>
      </c>
      <c r="L205" s="226">
        <v>44484</v>
      </c>
      <c r="M205" s="226" t="str">
        <f>IFERROR(IF(VLOOKUP(功能_33[[#This Row],[功能代號]],討論項目!A:H,8,FALSE)=0,"",VLOOKUP(功能_33[[#This Row],[功能代號]],討論項目!A:H,8,FALSE)),"")</f>
        <v/>
      </c>
      <c r="N205" s="308" t="s">
        <v>8</v>
      </c>
      <c r="O205" s="308" t="s">
        <v>22</v>
      </c>
      <c r="P205" s="277" t="s">
        <v>473</v>
      </c>
      <c r="T205" s="308"/>
      <c r="V205" s="308"/>
      <c r="W205" s="308"/>
      <c r="X205" s="307" t="str">
        <f>VLOOKUP(功能_33[[#This Row],[User]],SKL放款!A:G,7,FALSE)</f>
        <v>放款服務課</v>
      </c>
      <c r="Y205" s="228">
        <f>IF(功能_33[[#This Row],[實際展示]]="","",功能_33[[#This Row],[實際展示]]+14)</f>
        <v>44498</v>
      </c>
      <c r="Z205" s="226" t="s">
        <v>213</v>
      </c>
      <c r="AA205" s="226">
        <v>44523</v>
      </c>
      <c r="AB205" s="226"/>
      <c r="AC205" s="226"/>
      <c r="AD205" s="226"/>
      <c r="AE205" s="226"/>
      <c r="AF205" s="355"/>
      <c r="AG205" s="226" t="str">
        <f>IFERROR(IF(VLOOKUP(功能_33[[#This Row],[功能代號]],E:Q,11,FALSE)=0,"",VLOOKUP(功能_33[[#This Row],[功能代號]],E:Q,11,FALSE)),"")</f>
        <v>許慧玉</v>
      </c>
      <c r="AH205" s="226"/>
      <c r="AI205" s="226"/>
      <c r="AJ205" s="307"/>
      <c r="AK205" s="226"/>
      <c r="AN205" s="307" t="str">
        <f>VLOOKUP(功能_33[[#This Row],[功能代號]],工作表2!B:B,1,FALSE)</f>
        <v>L4454</v>
      </c>
    </row>
    <row r="206" spans="1:40" ht="14.25" hidden="1" customHeight="1">
      <c r="A206" s="224">
        <v>98</v>
      </c>
      <c r="B2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307" t="s">
        <v>104</v>
      </c>
      <c r="D206" s="307" t="s">
        <v>2792</v>
      </c>
      <c r="E206" s="308" t="s">
        <v>2797</v>
      </c>
      <c r="F206" s="307" t="s">
        <v>2796</v>
      </c>
      <c r="G206" s="228" t="s">
        <v>2795</v>
      </c>
      <c r="H206" s="308" t="s">
        <v>203</v>
      </c>
      <c r="I206" s="308" t="s">
        <v>447</v>
      </c>
      <c r="J206" s="229"/>
      <c r="K206" s="226">
        <v>44469</v>
      </c>
      <c r="L206" s="226">
        <v>44484</v>
      </c>
      <c r="M206" s="226" t="str">
        <f>IFERROR(IF(VLOOKUP(功能_33[[#This Row],[功能代號]],討論項目!A:H,8,FALSE)=0,"",VLOOKUP(功能_33[[#This Row],[功能代號]],討論項目!A:H,8,FALSE)),"")</f>
        <v/>
      </c>
      <c r="N206" s="308" t="s">
        <v>8</v>
      </c>
      <c r="O206" s="308" t="s">
        <v>22</v>
      </c>
      <c r="P206" s="277" t="s">
        <v>473</v>
      </c>
      <c r="T206" s="308"/>
      <c r="V206" s="308"/>
      <c r="W206" s="308"/>
      <c r="X206" s="307" t="str">
        <f>VLOOKUP(功能_33[[#This Row],[User]],SKL放款!A:G,7,FALSE)</f>
        <v>放款服務課</v>
      </c>
      <c r="Y206" s="228">
        <f>IF(功能_33[[#This Row],[實際展示]]="","",功能_33[[#This Row],[實際展示]]+14)</f>
        <v>44498</v>
      </c>
      <c r="Z206" s="226" t="s">
        <v>213</v>
      </c>
      <c r="AA206" s="226">
        <v>44523</v>
      </c>
      <c r="AB206" s="226"/>
      <c r="AC206" s="226"/>
      <c r="AD206" s="226"/>
      <c r="AE206" s="226"/>
      <c r="AF206" s="355"/>
      <c r="AG206" s="226" t="str">
        <f>IFERROR(IF(VLOOKUP(功能_33[[#This Row],[功能代號]],E:Q,11,FALSE)=0,"",VLOOKUP(功能_33[[#This Row],[功能代號]],E:Q,11,FALSE)),"")</f>
        <v>許慧玉</v>
      </c>
      <c r="AH206" s="226"/>
      <c r="AI206" s="226"/>
      <c r="AJ206" s="307"/>
      <c r="AK206" s="226"/>
      <c r="AN206" s="307" t="e">
        <f>VLOOKUP(功能_33[[#This Row],[功能代號]],工作表2!B:B,1,FALSE)</f>
        <v>#N/A</v>
      </c>
    </row>
    <row r="207" spans="1:40" ht="14.25" hidden="1" customHeight="1">
      <c r="A207" s="224">
        <v>204</v>
      </c>
      <c r="B207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7" s="307" t="s">
        <v>103</v>
      </c>
      <c r="D207" s="307"/>
      <c r="E207" s="308" t="s">
        <v>673</v>
      </c>
      <c r="F207" s="307" t="s">
        <v>674</v>
      </c>
      <c r="G207" s="307"/>
      <c r="H207" s="308" t="s">
        <v>203</v>
      </c>
      <c r="I207" s="308" t="s">
        <v>204</v>
      </c>
      <c r="J207" s="229"/>
      <c r="K207" s="226">
        <v>44491</v>
      </c>
      <c r="L207" s="226">
        <v>44491</v>
      </c>
      <c r="M207" s="226">
        <f>IFERROR(IF(VLOOKUP(功能_33[[#This Row],[功能代號]],討論項目!A:H,8,FALSE)=0,"",VLOOKUP(功能_33[[#This Row],[功能代號]],討論項目!A:H,8,FALSE)),"")</f>
        <v>44510</v>
      </c>
      <c r="N207" s="308" t="s">
        <v>8</v>
      </c>
      <c r="O207" s="308" t="s">
        <v>11</v>
      </c>
      <c r="T207" s="308"/>
      <c r="V207" s="308"/>
      <c r="W207" s="308"/>
      <c r="X207" s="307" t="str">
        <f>VLOOKUP(功能_33[[#This Row],[User]],SKL放款!A:G,7,FALSE)</f>
        <v>放款服務課</v>
      </c>
      <c r="Y207" s="228">
        <f>IF(功能_33[[#This Row],[實際展示]]="","",功能_33[[#This Row],[實際展示]]+14)</f>
        <v>44505</v>
      </c>
      <c r="Z207" s="226" t="s">
        <v>2808</v>
      </c>
      <c r="AA207" s="226">
        <v>44496</v>
      </c>
      <c r="AB207" s="226">
        <v>44496</v>
      </c>
      <c r="AC207" s="226">
        <v>44512</v>
      </c>
      <c r="AD207" s="226" t="s">
        <v>198</v>
      </c>
      <c r="AE207" s="226"/>
      <c r="AF207" s="355"/>
      <c r="AG207" s="226" t="str">
        <f>IFERROR(IF(VLOOKUP(功能_33[[#This Row],[功能代號]],E:Q,11,FALSE)=0,"",VLOOKUP(功能_33[[#This Row],[功能代號]],E:Q,11,FALSE)),"")</f>
        <v>蔡珮瑜</v>
      </c>
      <c r="AH207" s="226"/>
      <c r="AI207" s="226"/>
      <c r="AJ207" s="307"/>
      <c r="AK207" s="226"/>
      <c r="AL207" s="308">
        <v>310</v>
      </c>
      <c r="AM207" s="307" t="s">
        <v>675</v>
      </c>
      <c r="AN207" s="307" t="str">
        <f>VLOOKUP(功能_33[[#This Row],[功能代號]],工作表2!B:B,1,FALSE)</f>
        <v>L3911</v>
      </c>
    </row>
    <row r="208" spans="1:40" ht="14.25" hidden="1" customHeight="1">
      <c r="A208" s="224">
        <v>204</v>
      </c>
      <c r="B2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07" t="s">
        <v>103</v>
      </c>
      <c r="D208" s="307"/>
      <c r="E208" s="308" t="s">
        <v>676</v>
      </c>
      <c r="F208" s="307" t="s">
        <v>677</v>
      </c>
      <c r="G208" s="228" t="s">
        <v>678</v>
      </c>
      <c r="H208" s="308" t="s">
        <v>203</v>
      </c>
      <c r="I208" s="308" t="s">
        <v>204</v>
      </c>
      <c r="J208" s="229"/>
      <c r="K208" s="226">
        <v>44491</v>
      </c>
      <c r="L208" s="226">
        <v>44491</v>
      </c>
      <c r="M208" s="226">
        <f>IFERROR(IF(VLOOKUP(功能_33[[#This Row],[功能代號]],討論項目!A:H,8,FALSE)=0,"",VLOOKUP(功能_33[[#This Row],[功能代號]],討論項目!A:H,8,FALSE)),"")</f>
        <v>44510</v>
      </c>
      <c r="N208" s="308" t="s">
        <v>8</v>
      </c>
      <c r="O208" s="308" t="s">
        <v>11</v>
      </c>
      <c r="T208" s="308"/>
      <c r="V208" s="308"/>
      <c r="W208" s="308"/>
      <c r="X208" s="307" t="str">
        <f>VLOOKUP(功能_33[[#This Row],[User]],SKL放款!A:G,7,FALSE)</f>
        <v>放款服務課</v>
      </c>
      <c r="Y208" s="228">
        <f>IF(功能_33[[#This Row],[實際展示]]="","",功能_33[[#This Row],[實際展示]]+14)</f>
        <v>44505</v>
      </c>
      <c r="Z208" s="226" t="s">
        <v>2808</v>
      </c>
      <c r="AA208" s="226">
        <v>44496</v>
      </c>
      <c r="AB208" s="226">
        <v>44496</v>
      </c>
      <c r="AC208" s="226">
        <v>44512</v>
      </c>
      <c r="AD208" s="226" t="s">
        <v>198</v>
      </c>
      <c r="AE208" s="226"/>
      <c r="AF208" s="355"/>
      <c r="AG208" s="226" t="str">
        <f>IFERROR(IF(VLOOKUP(功能_33[[#This Row],[功能代號]],E:Q,11,FALSE)=0,"",VLOOKUP(功能_33[[#This Row],[功能代號]],E:Q,11,FALSE)),"")</f>
        <v>蔡珮瑜</v>
      </c>
      <c r="AH208" s="226"/>
      <c r="AI208" s="226"/>
      <c r="AJ208" s="307"/>
      <c r="AL208" s="308" t="s">
        <v>199</v>
      </c>
      <c r="AN208" s="307" t="str">
        <f>VLOOKUP(功能_33[[#This Row],[功能代號]],工作表2!B:B,1,FALSE)</f>
        <v>L3913</v>
      </c>
    </row>
    <row r="209" spans="1:40" ht="14.25" hidden="1" customHeight="1">
      <c r="A209" s="224">
        <v>224</v>
      </c>
      <c r="B2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9" s="307" t="s">
        <v>104</v>
      </c>
      <c r="D209" s="307" t="s">
        <v>2799</v>
      </c>
      <c r="E209" s="308" t="s">
        <v>679</v>
      </c>
      <c r="F209" s="307" t="s">
        <v>680</v>
      </c>
      <c r="G209" s="307"/>
      <c r="H209" s="308" t="s">
        <v>203</v>
      </c>
      <c r="I209" s="308" t="s">
        <v>447</v>
      </c>
      <c r="J209" s="229"/>
      <c r="K209" s="226">
        <v>44474</v>
      </c>
      <c r="L209" s="226">
        <v>44481</v>
      </c>
      <c r="M209" s="226" t="str">
        <f>IFERROR(IF(VLOOKUP(功能_33[[#This Row],[功能代號]],討論項目!A:H,8,FALSE)=0,"",VLOOKUP(功能_33[[#This Row],[功能代號]],討論項目!A:H,8,FALSE)),"")</f>
        <v/>
      </c>
      <c r="N209" s="308" t="s">
        <v>8</v>
      </c>
      <c r="O209" s="308" t="s">
        <v>11</v>
      </c>
      <c r="P209" s="277" t="s">
        <v>23</v>
      </c>
      <c r="T209" s="308"/>
      <c r="V209" s="308"/>
      <c r="W209" s="308"/>
      <c r="X209" s="307" t="str">
        <f>VLOOKUP(功能_33[[#This Row],[User]],SKL放款!A:G,7,FALSE)</f>
        <v>放款服務課</v>
      </c>
      <c r="Y209" s="228">
        <f>IF(功能_33[[#This Row],[實際展示]]="","",功能_33[[#This Row],[實際展示]]+14)</f>
        <v>44495</v>
      </c>
      <c r="Z209" s="226" t="s">
        <v>213</v>
      </c>
      <c r="AA209" s="226">
        <v>44523</v>
      </c>
      <c r="AB209" s="226"/>
      <c r="AC209" s="226"/>
      <c r="AD209" s="226"/>
      <c r="AE209" s="226"/>
      <c r="AF209" s="355"/>
      <c r="AG209" s="226" t="str">
        <f>IFERROR(IF(VLOOKUP(功能_33[[#This Row],[功能代號]],E:Q,11,FALSE)=0,"",VLOOKUP(功能_33[[#This Row],[功能代號]],E:Q,11,FALSE)),"")</f>
        <v>蔡珮瑜</v>
      </c>
      <c r="AH209" s="226"/>
      <c r="AI209" s="226"/>
      <c r="AJ209" s="307"/>
      <c r="AK209" s="226"/>
      <c r="AN209" s="307" t="str">
        <f>VLOOKUP(功能_33[[#This Row],[功能代號]],工作表2!B:B,1,FALSE)</f>
        <v>L4210</v>
      </c>
    </row>
    <row r="210" spans="1:40" ht="14.25" hidden="1" customHeight="1">
      <c r="A210" s="224">
        <v>225</v>
      </c>
      <c r="B210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0" s="307" t="s">
        <v>104</v>
      </c>
      <c r="D210" s="307" t="s">
        <v>2799</v>
      </c>
      <c r="E210" s="308" t="s">
        <v>681</v>
      </c>
      <c r="F210" s="307" t="s">
        <v>682</v>
      </c>
      <c r="G210" s="307"/>
      <c r="H210" s="308" t="s">
        <v>203</v>
      </c>
      <c r="I210" s="308" t="s">
        <v>447</v>
      </c>
      <c r="J210" s="229"/>
      <c r="K210" s="226">
        <v>44474</v>
      </c>
      <c r="L210" s="226">
        <v>44481</v>
      </c>
      <c r="M210" s="226" t="str">
        <f>IFERROR(IF(VLOOKUP(功能_33[[#This Row],[功能代號]],討論項目!A:H,8,FALSE)=0,"",VLOOKUP(功能_33[[#This Row],[功能代號]],討論項目!A:H,8,FALSE)),"")</f>
        <v/>
      </c>
      <c r="N210" s="308" t="s">
        <v>8</v>
      </c>
      <c r="O210" s="308" t="s">
        <v>11</v>
      </c>
      <c r="T210" s="308"/>
      <c r="V210" s="308"/>
      <c r="W210" s="308"/>
      <c r="X210" s="307" t="str">
        <f>VLOOKUP(功能_33[[#This Row],[User]],SKL放款!A:G,7,FALSE)</f>
        <v>放款服務課</v>
      </c>
      <c r="Y210" s="228">
        <f>IF(功能_33[[#This Row],[實際展示]]="","",功能_33[[#This Row],[實際展示]]+14)</f>
        <v>44495</v>
      </c>
      <c r="Z210" s="226" t="s">
        <v>205</v>
      </c>
      <c r="AA210" s="226">
        <v>44523</v>
      </c>
      <c r="AB210" s="226"/>
      <c r="AC210" s="226"/>
      <c r="AD210" s="226"/>
      <c r="AE210" s="226"/>
      <c r="AF210" s="355"/>
      <c r="AG210" s="226" t="str">
        <f>IFERROR(IF(VLOOKUP(功能_33[[#This Row],[功能代號]],E:Q,11,FALSE)=0,"",VLOOKUP(功能_33[[#This Row],[功能代號]],E:Q,11,FALSE)),"")</f>
        <v>蔡珮瑜</v>
      </c>
      <c r="AH210" s="226"/>
      <c r="AI210" s="226"/>
      <c r="AJ210" s="307"/>
      <c r="AK210" s="226"/>
      <c r="AN210" s="307" t="e">
        <f>VLOOKUP(功能_33[[#This Row],[功能代號]],工作表2!B:B,1,FALSE)</f>
        <v>#N/A</v>
      </c>
    </row>
    <row r="211" spans="1:40" ht="14.25" hidden="1" customHeight="1">
      <c r="A211" s="224">
        <v>227</v>
      </c>
      <c r="B2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07" t="s">
        <v>104</v>
      </c>
      <c r="D211" s="307" t="s">
        <v>2799</v>
      </c>
      <c r="E211" s="308" t="s">
        <v>683</v>
      </c>
      <c r="F211" s="307" t="s">
        <v>684</v>
      </c>
      <c r="G211" s="307"/>
      <c r="H211" s="308" t="s">
        <v>203</v>
      </c>
      <c r="I211" s="308" t="s">
        <v>447</v>
      </c>
      <c r="J211" s="229"/>
      <c r="K211" s="226">
        <v>44474</v>
      </c>
      <c r="L211" s="226">
        <v>44481</v>
      </c>
      <c r="M211" s="226" t="str">
        <f>IFERROR(IF(VLOOKUP(功能_33[[#This Row],[功能代號]],討論項目!A:H,8,FALSE)=0,"",VLOOKUP(功能_33[[#This Row],[功能代號]],討論項目!A:H,8,FALSE)),"")</f>
        <v/>
      </c>
      <c r="N211" s="308" t="s">
        <v>8</v>
      </c>
      <c r="O211" s="308" t="s">
        <v>23</v>
      </c>
      <c r="T211" s="308"/>
      <c r="V211" s="308"/>
      <c r="W211" s="308"/>
      <c r="X211" s="307" t="str">
        <f>VLOOKUP(功能_33[[#This Row],[User]],SKL放款!A:G,7,FALSE)</f>
        <v>放款服務課</v>
      </c>
      <c r="Y211" s="228">
        <f>IF(功能_33[[#This Row],[實際展示]]="","",功能_33[[#This Row],[實際展示]]+14)</f>
        <v>44495</v>
      </c>
      <c r="Z211" s="226" t="s">
        <v>213</v>
      </c>
      <c r="AA211" s="226">
        <v>44523</v>
      </c>
      <c r="AB211" s="226"/>
      <c r="AC211" s="226"/>
      <c r="AD211" s="226"/>
      <c r="AE211" s="226"/>
      <c r="AF211" s="355"/>
      <c r="AG211" s="226" t="str">
        <f>IFERROR(IF(VLOOKUP(功能_33[[#This Row],[功能代號]],E:Q,11,FALSE)=0,"",VLOOKUP(功能_33[[#This Row],[功能代號]],E:Q,11,FALSE)),"")</f>
        <v>宋郁宏</v>
      </c>
      <c r="AH211" s="226"/>
      <c r="AI211" s="226"/>
      <c r="AJ211" s="307"/>
      <c r="AK211" s="226"/>
      <c r="AN211" s="307" t="str">
        <f>VLOOKUP(功能_33[[#This Row],[功能代號]],工作表2!B:B,1,FALSE)</f>
        <v>L4201</v>
      </c>
    </row>
    <row r="212" spans="1:40" ht="14.25" hidden="1" customHeight="1">
      <c r="A212" s="224">
        <v>232</v>
      </c>
      <c r="B21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307" t="s">
        <v>104</v>
      </c>
      <c r="D212" s="307" t="s">
        <v>2799</v>
      </c>
      <c r="E212" s="308" t="s">
        <v>685</v>
      </c>
      <c r="F212" s="307" t="s">
        <v>686</v>
      </c>
      <c r="G212" s="307"/>
      <c r="H212" s="308" t="s">
        <v>203</v>
      </c>
      <c r="I212" s="308" t="s">
        <v>447</v>
      </c>
      <c r="J212" s="229"/>
      <c r="K212" s="226">
        <v>44474</v>
      </c>
      <c r="L212" s="226">
        <v>44482</v>
      </c>
      <c r="M212" s="226" t="str">
        <f>IFERROR(IF(VLOOKUP(功能_33[[#This Row],[功能代號]],討論項目!A:H,8,FALSE)=0,"",VLOOKUP(功能_33[[#This Row],[功能代號]],討論項目!A:H,8,FALSE)),"")</f>
        <v/>
      </c>
      <c r="N212" s="308" t="s">
        <v>8</v>
      </c>
      <c r="O212" s="308" t="s">
        <v>11</v>
      </c>
      <c r="T212" s="308"/>
      <c r="V212" s="308"/>
      <c r="W212" s="308"/>
      <c r="X212" s="307" t="str">
        <f>VLOOKUP(功能_33[[#This Row],[User]],SKL放款!A:G,7,FALSE)</f>
        <v>放款服務課</v>
      </c>
      <c r="Y212" s="228">
        <f>IF(功能_33[[#This Row],[實際展示]]="","",功能_33[[#This Row],[實際展示]]+14)</f>
        <v>44496</v>
      </c>
      <c r="Z212" s="226" t="s">
        <v>205</v>
      </c>
      <c r="AA212" s="226">
        <v>44523</v>
      </c>
      <c r="AB212" s="226"/>
      <c r="AC212" s="226"/>
      <c r="AD212" s="226"/>
      <c r="AE212" s="226"/>
      <c r="AF212" s="355"/>
      <c r="AG212" s="226" t="str">
        <f>IFERROR(IF(VLOOKUP(功能_33[[#This Row],[功能代號]],E:Q,11,FALSE)=0,"",VLOOKUP(功能_33[[#This Row],[功能代號]],E:Q,11,FALSE)),"")</f>
        <v>蔡珮瑜</v>
      </c>
      <c r="AH212" s="226"/>
      <c r="AI212" s="226"/>
      <c r="AJ212" s="307"/>
      <c r="AK212" s="226"/>
      <c r="AN212" s="307" t="e">
        <f>VLOOKUP(功能_33[[#This Row],[功能代號]],工作表2!B:B,1,FALSE)</f>
        <v>#N/A</v>
      </c>
    </row>
    <row r="213" spans="1:40" ht="14.25" hidden="1" customHeight="1">
      <c r="A213" s="224">
        <v>241</v>
      </c>
      <c r="B213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3" s="307" t="s">
        <v>104</v>
      </c>
      <c r="D213" s="307" t="s">
        <v>423</v>
      </c>
      <c r="E213" s="308" t="s">
        <v>687</v>
      </c>
      <c r="F213" s="307" t="s">
        <v>688</v>
      </c>
      <c r="G213" s="307"/>
      <c r="H213" s="308" t="s">
        <v>203</v>
      </c>
      <c r="I213" s="308" t="s">
        <v>447</v>
      </c>
      <c r="J213" s="229"/>
      <c r="K213" s="226">
        <v>44474</v>
      </c>
      <c r="L213" s="226">
        <v>44481</v>
      </c>
      <c r="M213" s="226" t="str">
        <f>IFERROR(IF(VLOOKUP(功能_33[[#This Row],[功能代號]],討論項目!A:H,8,FALSE)=0,"",VLOOKUP(功能_33[[#This Row],[功能代號]],討論項目!A:H,8,FALSE)),"")</f>
        <v/>
      </c>
      <c r="N213" s="308" t="s">
        <v>8</v>
      </c>
      <c r="O213" s="308" t="s">
        <v>24</v>
      </c>
      <c r="P213" s="277" t="s">
        <v>23</v>
      </c>
      <c r="T213" s="308"/>
      <c r="V213" s="308"/>
      <c r="W213" s="308"/>
      <c r="X213" s="307" t="str">
        <f>VLOOKUP(功能_33[[#This Row],[User]],SKL放款!A:G,7,FALSE)</f>
        <v>放款服務課</v>
      </c>
      <c r="Y213" s="228">
        <f>IF(功能_33[[#This Row],[實際展示]]="","",功能_33[[#This Row],[實際展示]]+14)</f>
        <v>44495</v>
      </c>
      <c r="Z213" s="226" t="s">
        <v>213</v>
      </c>
      <c r="AA213" s="226"/>
      <c r="AB213" s="226"/>
      <c r="AC213" s="226"/>
      <c r="AD213" s="226"/>
      <c r="AE213" s="226"/>
      <c r="AF213" s="355"/>
      <c r="AG213" s="226" t="str">
        <f>IFERROR(IF(VLOOKUP(功能_33[[#This Row],[功能代號]],E:Q,11,FALSE)=0,"",VLOOKUP(功能_33[[#This Row],[功能代號]],E:Q,11,FALSE)),"")</f>
        <v>邵淑微</v>
      </c>
      <c r="AH213" s="226"/>
      <c r="AI213" s="226"/>
      <c r="AJ213" s="307"/>
      <c r="AK213" s="226"/>
      <c r="AN213" s="307" t="str">
        <f>VLOOKUP(功能_33[[#This Row],[功能代號]],工作表2!B:B,1,FALSE)</f>
        <v>L4702</v>
      </c>
    </row>
    <row r="214" spans="1:40" ht="14.25" hidden="1" customHeight="1">
      <c r="A214" s="224">
        <v>242</v>
      </c>
      <c r="B214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4" s="307" t="s">
        <v>104</v>
      </c>
      <c r="D214" s="307" t="s">
        <v>423</v>
      </c>
      <c r="E214" s="308" t="s">
        <v>689</v>
      </c>
      <c r="F214" s="307" t="s">
        <v>690</v>
      </c>
      <c r="G214" s="307"/>
      <c r="H214" s="308" t="s">
        <v>203</v>
      </c>
      <c r="I214" s="308" t="s">
        <v>447</v>
      </c>
      <c r="J214" s="229"/>
      <c r="K214" s="226">
        <v>44474</v>
      </c>
      <c r="L214" s="226">
        <v>44481</v>
      </c>
      <c r="M214" s="226" t="str">
        <f>IFERROR(IF(VLOOKUP(功能_33[[#This Row],[功能代號]],討論項目!A:H,8,FALSE)=0,"",VLOOKUP(功能_33[[#This Row],[功能代號]],討論項目!A:H,8,FALSE)),"")</f>
        <v/>
      </c>
      <c r="N214" s="308" t="s">
        <v>8</v>
      </c>
      <c r="O214" s="308" t="s">
        <v>24</v>
      </c>
      <c r="P214" s="277" t="s">
        <v>23</v>
      </c>
      <c r="T214" s="308"/>
      <c r="V214" s="308"/>
      <c r="W214" s="308"/>
      <c r="X214" s="307" t="str">
        <f>VLOOKUP(功能_33[[#This Row],[User]],SKL放款!A:G,7,FALSE)</f>
        <v>放款服務課</v>
      </c>
      <c r="Y214" s="228">
        <f>IF(功能_33[[#This Row],[實際展示]]="","",功能_33[[#This Row],[實際展示]]+14)</f>
        <v>44495</v>
      </c>
      <c r="Z214" s="226" t="s">
        <v>213</v>
      </c>
      <c r="AA214" s="226"/>
      <c r="AB214" s="226"/>
      <c r="AC214" s="226"/>
      <c r="AD214" s="226"/>
      <c r="AE214" s="226"/>
      <c r="AF214" s="355"/>
      <c r="AG214" s="226" t="str">
        <f>IFERROR(IF(VLOOKUP(功能_33[[#This Row],[功能代號]],E:Q,11,FALSE)=0,"",VLOOKUP(功能_33[[#This Row],[功能代號]],E:Q,11,FALSE)),"")</f>
        <v>邵淑微</v>
      </c>
      <c r="AH214" s="226"/>
      <c r="AI214" s="226"/>
      <c r="AJ214" s="307"/>
      <c r="AK214" s="226"/>
      <c r="AN214" s="307" t="str">
        <f>VLOOKUP(功能_33[[#This Row],[功能代號]],工作表2!B:B,1,FALSE)</f>
        <v>L4703</v>
      </c>
    </row>
    <row r="215" spans="1:40" ht="14.25" hidden="1" customHeight="1">
      <c r="A215" s="224">
        <v>199</v>
      </c>
      <c r="B215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307" t="s">
        <v>103</v>
      </c>
      <c r="D215" s="307"/>
      <c r="E215" s="308" t="s">
        <v>691</v>
      </c>
      <c r="F215" s="307" t="s">
        <v>692</v>
      </c>
      <c r="G215" s="307"/>
      <c r="H215" s="308" t="s">
        <v>203</v>
      </c>
      <c r="I215" s="308" t="s">
        <v>204</v>
      </c>
      <c r="J215" s="229"/>
      <c r="K215" s="226">
        <v>44475</v>
      </c>
      <c r="L215" s="226">
        <v>44482</v>
      </c>
      <c r="M215" s="226" t="str">
        <f>IFERROR(IF(VLOOKUP(功能_33[[#This Row],[功能代號]],討論項目!A:H,8,FALSE)=0,"",VLOOKUP(功能_33[[#This Row],[功能代號]],討論項目!A:H,8,FALSE)),"")</f>
        <v/>
      </c>
      <c r="N215" s="308" t="s">
        <v>8</v>
      </c>
      <c r="O215" s="308" t="s">
        <v>11</v>
      </c>
      <c r="T215" s="308"/>
      <c r="V215" s="308"/>
      <c r="W215" s="308"/>
      <c r="X215" s="307" t="str">
        <f>VLOOKUP(功能_33[[#This Row],[User]],SKL放款!A:G,7,FALSE)</f>
        <v>放款服務課</v>
      </c>
      <c r="Y215" s="228">
        <f>IF(功能_33[[#This Row],[實際展示]]="","",功能_33[[#This Row],[實際展示]]+14)</f>
        <v>44496</v>
      </c>
      <c r="Z215" s="226" t="s">
        <v>2809</v>
      </c>
      <c r="AA215" s="226">
        <v>44496</v>
      </c>
      <c r="AB215" s="226">
        <v>44496</v>
      </c>
      <c r="AC215" s="226">
        <v>44512</v>
      </c>
      <c r="AD215" s="226" t="s">
        <v>198</v>
      </c>
      <c r="AE215" s="226"/>
      <c r="AF215" s="355"/>
      <c r="AG215" s="226" t="str">
        <f>IFERROR(IF(VLOOKUP(功能_33[[#This Row],[功能代號]],E:Q,11,FALSE)=0,"",VLOOKUP(功能_33[[#This Row],[功能代號]],E:Q,11,FALSE)),"")</f>
        <v>蔡珮瑜</v>
      </c>
      <c r="AH215" s="226"/>
      <c r="AI215" s="226"/>
      <c r="AJ215" s="307"/>
      <c r="AK215" s="226"/>
      <c r="AL215" s="308">
        <v>330</v>
      </c>
      <c r="AM215" s="307" t="s">
        <v>693</v>
      </c>
      <c r="AN215" s="307" t="e">
        <f>VLOOKUP(功能_33[[#This Row],[功能代號]],工作表2!B:B,1,FALSE)</f>
        <v>#N/A</v>
      </c>
    </row>
    <row r="216" spans="1:40" ht="14.25" hidden="1" customHeight="1">
      <c r="A216" s="224">
        <v>196</v>
      </c>
      <c r="B216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307" t="s">
        <v>103</v>
      </c>
      <c r="D216" s="307"/>
      <c r="E216" s="308" t="s">
        <v>694</v>
      </c>
      <c r="F216" s="307" t="s">
        <v>695</v>
      </c>
      <c r="G216" s="307"/>
      <c r="H216" s="308" t="s">
        <v>203</v>
      </c>
      <c r="I216" s="308" t="s">
        <v>204</v>
      </c>
      <c r="J216" s="229"/>
      <c r="K216" s="226">
        <v>44475</v>
      </c>
      <c r="L216" s="226">
        <v>44482</v>
      </c>
      <c r="M216" s="226" t="str">
        <f>IFERROR(IF(VLOOKUP(功能_33[[#This Row],[功能代號]],討論項目!A:H,8,FALSE)=0,"",VLOOKUP(功能_33[[#This Row],[功能代號]],討論項目!A:H,8,FALSE)),"")</f>
        <v/>
      </c>
      <c r="N216" s="308" t="s">
        <v>8</v>
      </c>
      <c r="O216" s="308" t="s">
        <v>11</v>
      </c>
      <c r="P216" s="277" t="s">
        <v>18</v>
      </c>
      <c r="T216" s="308"/>
      <c r="V216" s="308"/>
      <c r="W216" s="308"/>
      <c r="X216" s="307" t="str">
        <f>VLOOKUP(功能_33[[#This Row],[User]],SKL放款!A:G,7,FALSE)</f>
        <v>放款服務課</v>
      </c>
      <c r="Y216" s="228">
        <f>IF(功能_33[[#This Row],[實際展示]]="","",功能_33[[#This Row],[實際展示]]+14)</f>
        <v>44496</v>
      </c>
      <c r="Z216" s="226" t="s">
        <v>2809</v>
      </c>
      <c r="AA216" s="226">
        <v>44496</v>
      </c>
      <c r="AB216" s="226">
        <v>44496</v>
      </c>
      <c r="AC216" s="226">
        <v>44512</v>
      </c>
      <c r="AD216" s="226" t="s">
        <v>198</v>
      </c>
      <c r="AE216" s="226"/>
      <c r="AF216" s="355"/>
      <c r="AG216" s="226" t="str">
        <f>IFERROR(IF(VLOOKUP(功能_33[[#This Row],[功能代號]],E:Q,11,FALSE)=0,"",VLOOKUP(功能_33[[#This Row],[功能代號]],E:Q,11,FALSE)),"")</f>
        <v>蔡珮瑜</v>
      </c>
      <c r="AH216" s="226"/>
      <c r="AI216" s="226"/>
      <c r="AJ216" s="307"/>
      <c r="AK216" s="228" t="s">
        <v>696</v>
      </c>
      <c r="AL216" s="308">
        <v>340</v>
      </c>
      <c r="AM216" s="307" t="s">
        <v>697</v>
      </c>
      <c r="AN216" s="307" t="e">
        <f>VLOOKUP(功能_33[[#This Row],[功能代號]],工作表2!B:B,1,FALSE)</f>
        <v>#N/A</v>
      </c>
    </row>
    <row r="217" spans="1:40" ht="14.25" hidden="1" customHeight="1">
      <c r="A217" s="224">
        <v>214</v>
      </c>
      <c r="B217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07" t="s">
        <v>103</v>
      </c>
      <c r="D217" s="307"/>
      <c r="E217" s="308" t="s">
        <v>698</v>
      </c>
      <c r="F217" s="307" t="s">
        <v>699</v>
      </c>
      <c r="G217" s="307"/>
      <c r="H217" s="308" t="s">
        <v>203</v>
      </c>
      <c r="I217" s="308" t="s">
        <v>204</v>
      </c>
      <c r="J217" s="229"/>
      <c r="K217" s="226">
        <v>44475</v>
      </c>
      <c r="L217" s="226">
        <v>44482</v>
      </c>
      <c r="M217" s="226" t="str">
        <f>IFERROR(IF(VLOOKUP(功能_33[[#This Row],[功能代號]],討論項目!A:H,8,FALSE)=0,"",VLOOKUP(功能_33[[#This Row],[功能代號]],討論項目!A:H,8,FALSE)),"")</f>
        <v/>
      </c>
      <c r="N217" s="308" t="s">
        <v>8</v>
      </c>
      <c r="O217" s="308" t="s">
        <v>11</v>
      </c>
      <c r="T217" s="308"/>
      <c r="V217" s="308"/>
      <c r="W217" s="308"/>
      <c r="X217" s="307" t="str">
        <f>VLOOKUP(功能_33[[#This Row],[User]],SKL放款!A:G,7,FALSE)</f>
        <v>放款服務課</v>
      </c>
      <c r="Y217" s="228">
        <f>IF(功能_33[[#This Row],[實際展示]]="","",功能_33[[#This Row],[實際展示]]+14)</f>
        <v>44496</v>
      </c>
      <c r="Z217" s="226" t="s">
        <v>2809</v>
      </c>
      <c r="AA217" s="226">
        <v>44496</v>
      </c>
      <c r="AB217" s="226">
        <v>44496</v>
      </c>
      <c r="AC217" s="226">
        <v>44512</v>
      </c>
      <c r="AD217" s="226" t="s">
        <v>198</v>
      </c>
      <c r="AE217" s="226"/>
      <c r="AF217" s="355"/>
      <c r="AG217" s="226" t="str">
        <f>IFERROR(IF(VLOOKUP(功能_33[[#This Row],[功能代號]],E:Q,11,FALSE)=0,"",VLOOKUP(功能_33[[#This Row],[功能代號]],E:Q,11,FALSE)),"")</f>
        <v>蔡珮瑜</v>
      </c>
      <c r="AH217" s="226"/>
      <c r="AI217" s="226"/>
      <c r="AJ217" s="307"/>
      <c r="AK217" s="226"/>
      <c r="AL217" s="308">
        <v>345</v>
      </c>
      <c r="AM217" s="307" t="s">
        <v>700</v>
      </c>
      <c r="AN217" s="307" t="e">
        <f>VLOOKUP(功能_33[[#This Row],[功能代號]],工作表2!B:B,1,FALSE)</f>
        <v>#N/A</v>
      </c>
    </row>
    <row r="218" spans="1:40" ht="14.25" hidden="1" customHeight="1">
      <c r="A218" s="224">
        <v>197</v>
      </c>
      <c r="B218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307" t="s">
        <v>103</v>
      </c>
      <c r="D218" s="307"/>
      <c r="E218" s="308" t="s">
        <v>701</v>
      </c>
      <c r="F218" s="307" t="s">
        <v>702</v>
      </c>
      <c r="G218" s="307"/>
      <c r="H218" s="308" t="s">
        <v>203</v>
      </c>
      <c r="I218" s="308" t="s">
        <v>204</v>
      </c>
      <c r="J218" s="229"/>
      <c r="K218" s="226">
        <v>44475</v>
      </c>
      <c r="L218" s="226">
        <v>44487</v>
      </c>
      <c r="M218" s="226" t="str">
        <f>IFERROR(IF(VLOOKUP(功能_33[[#This Row],[功能代號]],討論項目!A:H,8,FALSE)=0,"",VLOOKUP(功能_33[[#This Row],[功能代號]],討論項目!A:H,8,FALSE)),"")</f>
        <v/>
      </c>
      <c r="N218" s="308" t="s">
        <v>7</v>
      </c>
      <c r="O218" s="308" t="s">
        <v>24</v>
      </c>
      <c r="P218" s="277" t="s">
        <v>14</v>
      </c>
      <c r="T218" s="308"/>
      <c r="V218" s="308"/>
      <c r="W218" s="308"/>
      <c r="X218" s="307" t="str">
        <f>VLOOKUP(功能_33[[#This Row],[User]],SKL放款!A:G,7,FALSE)</f>
        <v>放款服務課</v>
      </c>
      <c r="Y218" s="228">
        <f>IF(功能_33[[#This Row],[實際展示]]="","",功能_33[[#This Row],[實際展示]]+14)</f>
        <v>44501</v>
      </c>
      <c r="Z218" s="226" t="s">
        <v>2809</v>
      </c>
      <c r="AA218" s="226">
        <v>44496</v>
      </c>
      <c r="AB218" s="226">
        <v>44496</v>
      </c>
      <c r="AC218" s="226">
        <v>44512</v>
      </c>
      <c r="AD218" s="226" t="s">
        <v>198</v>
      </c>
      <c r="AE218" s="226"/>
      <c r="AF218" s="355"/>
      <c r="AG218" s="226" t="str">
        <f>IFERROR(IF(VLOOKUP(功能_33[[#This Row],[功能代號]],E:Q,11,FALSE)=0,"",VLOOKUP(功能_33[[#This Row],[功能代號]],E:Q,11,FALSE)),"")</f>
        <v>邵淑微</v>
      </c>
      <c r="AH218" s="226"/>
      <c r="AI218" s="226"/>
      <c r="AJ218" s="307"/>
      <c r="AK218" s="226"/>
      <c r="AL218" s="308">
        <v>365</v>
      </c>
      <c r="AM218" s="307" t="s">
        <v>703</v>
      </c>
      <c r="AN218" s="307" t="e">
        <f>VLOOKUP(功能_33[[#This Row],[功能代號]],工作表2!B:B,1,FALSE)</f>
        <v>#N/A</v>
      </c>
    </row>
    <row r="219" spans="1:40" ht="14.25" hidden="1" customHeight="1">
      <c r="A219" s="224">
        <v>194</v>
      </c>
      <c r="B219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307" t="s">
        <v>103</v>
      </c>
      <c r="D219" s="307"/>
      <c r="E219" s="308" t="s">
        <v>704</v>
      </c>
      <c r="F219" s="307" t="s">
        <v>705</v>
      </c>
      <c r="G219" s="307"/>
      <c r="H219" s="308" t="s">
        <v>203</v>
      </c>
      <c r="I219" s="308" t="s">
        <v>204</v>
      </c>
      <c r="J219" s="229"/>
      <c r="K219" s="226">
        <v>44475</v>
      </c>
      <c r="L219" s="226">
        <v>44482</v>
      </c>
      <c r="M219" s="226" t="str">
        <f>IFERROR(IF(VLOOKUP(功能_33[[#This Row],[功能代號]],討論項目!A:H,8,FALSE)=0,"",VLOOKUP(功能_33[[#This Row],[功能代號]],討論項目!A:H,8,FALSE)),"")</f>
        <v/>
      </c>
      <c r="N219" s="308" t="s">
        <v>8</v>
      </c>
      <c r="O219" s="308" t="s">
        <v>11</v>
      </c>
      <c r="T219" s="308"/>
      <c r="V219" s="308"/>
      <c r="W219" s="308"/>
      <c r="X219" s="307" t="str">
        <f>VLOOKUP(功能_33[[#This Row],[User]],SKL放款!A:G,7,FALSE)</f>
        <v>放款服務課</v>
      </c>
      <c r="Y219" s="228">
        <f>IF(功能_33[[#This Row],[實際展示]]="","",功能_33[[#This Row],[實際展示]]+14)</f>
        <v>44496</v>
      </c>
      <c r="Z219" s="226" t="s">
        <v>2809</v>
      </c>
      <c r="AA219" s="226">
        <v>44496</v>
      </c>
      <c r="AB219" s="226">
        <v>44496</v>
      </c>
      <c r="AC219" s="226">
        <v>44512</v>
      </c>
      <c r="AD219" s="226" t="s">
        <v>198</v>
      </c>
      <c r="AE219" s="226"/>
      <c r="AF219" s="355"/>
      <c r="AG219" s="226" t="str">
        <f>IFERROR(IF(VLOOKUP(功能_33[[#This Row],[功能代號]],E:Q,11,FALSE)=0,"",VLOOKUP(功能_33[[#This Row],[功能代號]],E:Q,11,FALSE)),"")</f>
        <v>蔡珮瑜</v>
      </c>
      <c r="AH219" s="226"/>
      <c r="AI219" s="226"/>
      <c r="AJ219" s="307"/>
      <c r="AK219" s="226"/>
      <c r="AL219" s="308">
        <v>370</v>
      </c>
      <c r="AM219" s="307" t="s">
        <v>706</v>
      </c>
      <c r="AN219" s="307" t="e">
        <f>VLOOKUP(功能_33[[#This Row],[功能代號]],工作表2!B:B,1,FALSE)</f>
        <v>#N/A</v>
      </c>
    </row>
    <row r="220" spans="1:40" ht="14.25" hidden="1" customHeight="1">
      <c r="A220" s="224">
        <v>195</v>
      </c>
      <c r="B220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307" t="s">
        <v>103</v>
      </c>
      <c r="D220" s="307"/>
      <c r="E220" s="308" t="s">
        <v>707</v>
      </c>
      <c r="F220" s="307" t="s">
        <v>708</v>
      </c>
      <c r="G220" s="307"/>
      <c r="H220" s="308" t="s">
        <v>203</v>
      </c>
      <c r="I220" s="308" t="s">
        <v>204</v>
      </c>
      <c r="J220" s="229"/>
      <c r="K220" s="226">
        <v>44475</v>
      </c>
      <c r="L220" s="226">
        <v>44482</v>
      </c>
      <c r="M220" s="226">
        <f>IFERROR(IF(VLOOKUP(功能_33[[#This Row],[功能代號]],討論項目!A:H,8,FALSE)=0,"",VLOOKUP(功能_33[[#This Row],[功能代號]],討論項目!A:H,8,FALSE)),"")</f>
        <v>44510</v>
      </c>
      <c r="N220" s="308" t="s">
        <v>8</v>
      </c>
      <c r="O220" s="308" t="s">
        <v>11</v>
      </c>
      <c r="T220" s="308"/>
      <c r="V220" s="308"/>
      <c r="W220" s="308"/>
      <c r="X220" s="307" t="str">
        <f>VLOOKUP(功能_33[[#This Row],[User]],SKL放款!A:G,7,FALSE)</f>
        <v>放款服務課</v>
      </c>
      <c r="Y220" s="228">
        <f>IF(功能_33[[#This Row],[實際展示]]="","",功能_33[[#This Row],[實際展示]]+14)</f>
        <v>44496</v>
      </c>
      <c r="Z220" s="226" t="s">
        <v>2808</v>
      </c>
      <c r="AA220" s="226">
        <v>44496</v>
      </c>
      <c r="AB220" s="226">
        <v>44496</v>
      </c>
      <c r="AC220" s="226">
        <v>44512</v>
      </c>
      <c r="AD220" s="226" t="s">
        <v>198</v>
      </c>
      <c r="AE220" s="226"/>
      <c r="AF220" s="355"/>
      <c r="AG220" s="226" t="str">
        <f>IFERROR(IF(VLOOKUP(功能_33[[#This Row],[功能代號]],E:Q,11,FALSE)=0,"",VLOOKUP(功能_33[[#This Row],[功能代號]],E:Q,11,FALSE)),"")</f>
        <v>蔡珮瑜</v>
      </c>
      <c r="AH220" s="226"/>
      <c r="AI220" s="226"/>
      <c r="AJ220" s="307"/>
      <c r="AK220" s="226"/>
      <c r="AL220" s="308">
        <v>375</v>
      </c>
      <c r="AM220" s="307" t="s">
        <v>709</v>
      </c>
      <c r="AN220" s="307" t="str">
        <f>VLOOKUP(功能_33[[#This Row],[功能代號]],工作表2!B:B,1,FALSE)</f>
        <v>L3926</v>
      </c>
    </row>
    <row r="221" spans="1:40" ht="14.25" hidden="1" customHeight="1">
      <c r="A221" s="224">
        <v>201</v>
      </c>
      <c r="B221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1" s="307" t="s">
        <v>103</v>
      </c>
      <c r="D221" s="307"/>
      <c r="E221" s="308" t="s">
        <v>710</v>
      </c>
      <c r="F221" s="307" t="s">
        <v>711</v>
      </c>
      <c r="G221" s="307"/>
      <c r="H221" s="308" t="s">
        <v>203</v>
      </c>
      <c r="I221" s="308" t="s">
        <v>204</v>
      </c>
      <c r="J221" s="229"/>
      <c r="K221" s="226">
        <v>44475</v>
      </c>
      <c r="L221" s="226">
        <v>44482</v>
      </c>
      <c r="M221" s="226" t="str">
        <f>IFERROR(IF(VLOOKUP(功能_33[[#This Row],[功能代號]],討論項目!A:H,8,FALSE)=0,"",VLOOKUP(功能_33[[#This Row],[功能代號]],討論項目!A:H,8,FALSE)),"")</f>
        <v/>
      </c>
      <c r="N221" s="308" t="s">
        <v>8</v>
      </c>
      <c r="O221" s="308" t="s">
        <v>11</v>
      </c>
      <c r="T221" s="308"/>
      <c r="V221" s="308"/>
      <c r="W221" s="308"/>
      <c r="X221" s="307" t="str">
        <f>VLOOKUP(功能_33[[#This Row],[User]],SKL放款!A:G,7,FALSE)</f>
        <v>放款服務課</v>
      </c>
      <c r="Y221" s="228">
        <f>IF(功能_33[[#This Row],[實際展示]]="","",功能_33[[#This Row],[實際展示]]+14)</f>
        <v>44496</v>
      </c>
      <c r="Z221" s="226" t="s">
        <v>2809</v>
      </c>
      <c r="AA221" s="226">
        <v>44496</v>
      </c>
      <c r="AB221" s="226">
        <v>44496</v>
      </c>
      <c r="AC221" s="226">
        <v>44512</v>
      </c>
      <c r="AD221" s="226" t="s">
        <v>198</v>
      </c>
      <c r="AE221" s="226"/>
      <c r="AF221" s="355"/>
      <c r="AG221" s="226" t="str">
        <f>IFERROR(IF(VLOOKUP(功能_33[[#This Row],[功能代號]],E:Q,11,FALSE)=0,"",VLOOKUP(功能_33[[#This Row],[功能代號]],E:Q,11,FALSE)),"")</f>
        <v>蔡珮瑜</v>
      </c>
      <c r="AH221" s="226"/>
      <c r="AI221" s="226"/>
      <c r="AJ221" s="307"/>
      <c r="AK221" s="226"/>
      <c r="AL221" s="308" t="s">
        <v>199</v>
      </c>
      <c r="AN221" s="307" t="e">
        <f>VLOOKUP(功能_33[[#This Row],[功能代號]],工作表2!B:B,1,FALSE)</f>
        <v>#N/A</v>
      </c>
    </row>
    <row r="222" spans="1:40" ht="14.25" hidden="1" customHeight="1">
      <c r="A222" s="224">
        <v>202</v>
      </c>
      <c r="B2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2" s="307" t="s">
        <v>103</v>
      </c>
      <c r="D222" s="307"/>
      <c r="E222" s="308" t="s">
        <v>712</v>
      </c>
      <c r="F222" s="307" t="s">
        <v>713</v>
      </c>
      <c r="G222" s="307"/>
      <c r="H222" s="308" t="s">
        <v>203</v>
      </c>
      <c r="I222" s="308" t="s">
        <v>204</v>
      </c>
      <c r="J222" s="229"/>
      <c r="K222" s="226">
        <v>44475</v>
      </c>
      <c r="L222" s="226">
        <v>44482</v>
      </c>
      <c r="M222" s="226">
        <f>IFERROR(IF(VLOOKUP(功能_33[[#This Row],[功能代號]],討論項目!A:H,8,FALSE)=0,"",VLOOKUP(功能_33[[#This Row],[功能代號]],討論項目!A:H,8,FALSE)),"")</f>
        <v>44510</v>
      </c>
      <c r="N222" s="308" t="s">
        <v>8</v>
      </c>
      <c r="O222" s="308" t="s">
        <v>11</v>
      </c>
      <c r="P222" s="277" t="s">
        <v>23</v>
      </c>
      <c r="T222" s="308"/>
      <c r="V222" s="308"/>
      <c r="W222" s="308"/>
      <c r="X222" s="307" t="str">
        <f>VLOOKUP(功能_33[[#This Row],[User]],SKL放款!A:G,7,FALSE)</f>
        <v>放款服務課</v>
      </c>
      <c r="Y222" s="228">
        <f>IF(功能_33[[#This Row],[實際展示]]="","",功能_33[[#This Row],[實際展示]]+14)</f>
        <v>44496</v>
      </c>
      <c r="Z222" s="226" t="s">
        <v>2808</v>
      </c>
      <c r="AA222" s="226">
        <v>44496</v>
      </c>
      <c r="AB222" s="226">
        <v>44496</v>
      </c>
      <c r="AC222" s="226">
        <v>44512</v>
      </c>
      <c r="AD222" s="226" t="s">
        <v>198</v>
      </c>
      <c r="AE222" s="226"/>
      <c r="AF222" s="355"/>
      <c r="AG222" s="226" t="str">
        <f>IFERROR(IF(VLOOKUP(功能_33[[#This Row],[功能代號]],E:Q,11,FALSE)=0,"",VLOOKUP(功能_33[[#This Row],[功能代號]],E:Q,11,FALSE)),"")</f>
        <v>蔡珮瑜</v>
      </c>
      <c r="AH222" s="226"/>
      <c r="AI222" s="226"/>
      <c r="AJ222" s="307"/>
      <c r="AK222" s="226"/>
      <c r="AL222" s="308" t="s">
        <v>199</v>
      </c>
      <c r="AN222" s="307" t="str">
        <f>VLOOKUP(功能_33[[#This Row],[功能代號]],工作表2!B:B,1,FALSE)</f>
        <v>L3130</v>
      </c>
    </row>
    <row r="223" spans="1:40" ht="14.25" hidden="1" customHeight="1">
      <c r="A223" s="224">
        <v>200</v>
      </c>
      <c r="B223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307" t="s">
        <v>103</v>
      </c>
      <c r="D223" s="307"/>
      <c r="E223" s="308" t="s">
        <v>714</v>
      </c>
      <c r="F223" s="307" t="s">
        <v>715</v>
      </c>
      <c r="G223" s="307"/>
      <c r="H223" s="308" t="s">
        <v>203</v>
      </c>
      <c r="I223" s="308" t="s">
        <v>204</v>
      </c>
      <c r="J223" s="229"/>
      <c r="K223" s="226">
        <v>44475</v>
      </c>
      <c r="L223" s="226">
        <v>44482</v>
      </c>
      <c r="M223" s="226" t="str">
        <f>IFERROR(IF(VLOOKUP(功能_33[[#This Row],[功能代號]],討論項目!A:H,8,FALSE)=0,"",VLOOKUP(功能_33[[#This Row],[功能代號]],討論項目!A:H,8,FALSE)),"")</f>
        <v/>
      </c>
      <c r="N223" s="308" t="s">
        <v>8</v>
      </c>
      <c r="O223" s="308" t="s">
        <v>11</v>
      </c>
      <c r="T223" s="308"/>
      <c r="V223" s="308"/>
      <c r="W223" s="308"/>
      <c r="X223" s="307" t="str">
        <f>VLOOKUP(功能_33[[#This Row],[User]],SKL放款!A:G,7,FALSE)</f>
        <v>放款服務課</v>
      </c>
      <c r="Y223" s="228">
        <f>IF(功能_33[[#This Row],[實際展示]]="","",功能_33[[#This Row],[實際展示]]+14)</f>
        <v>44496</v>
      </c>
      <c r="Z223" s="226" t="s">
        <v>2808</v>
      </c>
      <c r="AA223" s="226">
        <v>44496</v>
      </c>
      <c r="AB223" s="226">
        <v>44496</v>
      </c>
      <c r="AC223" s="226">
        <v>44512</v>
      </c>
      <c r="AD223" s="226" t="s">
        <v>198</v>
      </c>
      <c r="AE223" s="226"/>
      <c r="AF223" s="355"/>
      <c r="AG223" s="226" t="str">
        <f>IFERROR(IF(VLOOKUP(功能_33[[#This Row],[功能代號]],E:Q,11,FALSE)=0,"",VLOOKUP(功能_33[[#This Row],[功能代號]],E:Q,11,FALSE)),"")</f>
        <v>蔡珮瑜</v>
      </c>
      <c r="AH223" s="226"/>
      <c r="AI223" s="226"/>
      <c r="AJ223" s="307"/>
      <c r="AK223" s="226"/>
      <c r="AL223" s="308">
        <v>331</v>
      </c>
      <c r="AM223" s="307" t="s">
        <v>716</v>
      </c>
      <c r="AN223" s="307" t="str">
        <f>VLOOKUP(功能_33[[#This Row],[功能代號]],工作表2!B:B,1,FALSE)</f>
        <v>L3200</v>
      </c>
    </row>
    <row r="224" spans="1:40" ht="14.25" hidden="1" customHeight="1">
      <c r="A224" s="224">
        <v>210</v>
      </c>
      <c r="B224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4" s="307" t="s">
        <v>103</v>
      </c>
      <c r="D224" s="307"/>
      <c r="E224" s="308" t="s">
        <v>717</v>
      </c>
      <c r="F224" s="307" t="s">
        <v>718</v>
      </c>
      <c r="G224" s="307"/>
      <c r="H224" s="308" t="s">
        <v>203</v>
      </c>
      <c r="I224" s="308" t="s">
        <v>204</v>
      </c>
      <c r="J224" s="229"/>
      <c r="K224" s="226">
        <v>44475</v>
      </c>
      <c r="L224" s="226">
        <v>44482</v>
      </c>
      <c r="M224" s="226">
        <f>IFERROR(IF(VLOOKUP(功能_33[[#This Row],[功能代號]],討論項目!A:H,8,FALSE)=0,"",VLOOKUP(功能_33[[#This Row],[功能代號]],討論項目!A:H,8,FALSE)),"")</f>
        <v>44487</v>
      </c>
      <c r="N224" s="308" t="s">
        <v>8</v>
      </c>
      <c r="O224" s="308" t="s">
        <v>24</v>
      </c>
      <c r="P224" s="277" t="s">
        <v>14</v>
      </c>
      <c r="T224" s="308"/>
      <c r="V224" s="308"/>
      <c r="W224" s="308"/>
      <c r="X224" s="307" t="str">
        <f>VLOOKUP(功能_33[[#This Row],[User]],SKL放款!A:G,7,FALSE)</f>
        <v>放款服務課</v>
      </c>
      <c r="Y224" s="228">
        <f>IF(功能_33[[#This Row],[實際展示]]="","",功能_33[[#This Row],[實際展示]]+14)</f>
        <v>44496</v>
      </c>
      <c r="Z224" s="226" t="s">
        <v>2808</v>
      </c>
      <c r="AA224" s="226">
        <v>44496</v>
      </c>
      <c r="AB224" s="226">
        <v>44496</v>
      </c>
      <c r="AC224" s="226">
        <v>44512</v>
      </c>
      <c r="AD224" s="226" t="s">
        <v>198</v>
      </c>
      <c r="AE224" s="226"/>
      <c r="AF224" s="355"/>
      <c r="AG224" s="226" t="str">
        <f>IFERROR(IF(VLOOKUP(功能_33[[#This Row],[功能代號]],E:Q,11,FALSE)=0,"",VLOOKUP(功能_33[[#This Row],[功能代號]],E:Q,11,FALSE)),"")</f>
        <v>邵淑微</v>
      </c>
      <c r="AH224" s="226"/>
      <c r="AI224" s="226"/>
      <c r="AJ224" s="307"/>
      <c r="AK224" s="228" t="s">
        <v>719</v>
      </c>
      <c r="AL224" s="308" t="s">
        <v>199</v>
      </c>
      <c r="AN224" s="307" t="str">
        <f>VLOOKUP(功能_33[[#This Row],[功能代號]],工作表2!B:B,1,FALSE)</f>
        <v>L3230</v>
      </c>
    </row>
    <row r="225" spans="1:40" ht="14.25" hidden="1" customHeight="1">
      <c r="A225" s="224">
        <v>211</v>
      </c>
      <c r="B225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5" s="307" t="s">
        <v>103</v>
      </c>
      <c r="D225" s="307"/>
      <c r="E225" s="308" t="s">
        <v>720</v>
      </c>
      <c r="F225" s="307" t="s">
        <v>721</v>
      </c>
      <c r="G225" s="307"/>
      <c r="H225" s="308" t="s">
        <v>203</v>
      </c>
      <c r="I225" s="308" t="s">
        <v>204</v>
      </c>
      <c r="J225" s="229"/>
      <c r="K225" s="226">
        <v>44475</v>
      </c>
      <c r="L225" s="226">
        <v>44487</v>
      </c>
      <c r="M225" s="226" t="str">
        <f>IFERROR(IF(VLOOKUP(功能_33[[#This Row],[功能代號]],討論項目!A:H,8,FALSE)=0,"",VLOOKUP(功能_33[[#This Row],[功能代號]],討論項目!A:H,8,FALSE)),"")</f>
        <v/>
      </c>
      <c r="N225" s="308" t="s">
        <v>12</v>
      </c>
      <c r="O225" s="308" t="s">
        <v>24</v>
      </c>
      <c r="T225" s="308"/>
      <c r="V225" s="308"/>
      <c r="W225" s="308"/>
      <c r="X225" s="307" t="str">
        <f>VLOOKUP(功能_33[[#This Row],[User]],SKL放款!A:G,7,FALSE)</f>
        <v>放款服務課</v>
      </c>
      <c r="Y225" s="228">
        <f>IF(功能_33[[#This Row],[實際展示]]="","",功能_33[[#This Row],[實際展示]]+14)</f>
        <v>44501</v>
      </c>
      <c r="Z225" s="226" t="s">
        <v>2809</v>
      </c>
      <c r="AA225" s="226">
        <v>44496</v>
      </c>
      <c r="AB225" s="226">
        <v>44496</v>
      </c>
      <c r="AC225" s="226">
        <v>44512</v>
      </c>
      <c r="AD225" s="226" t="s">
        <v>198</v>
      </c>
      <c r="AE225" s="226"/>
      <c r="AF225" s="355"/>
      <c r="AG225" s="226" t="str">
        <f>IFERROR(IF(VLOOKUP(功能_33[[#This Row],[功能代號]],E:Q,11,FALSE)=0,"",VLOOKUP(功能_33[[#This Row],[功能代號]],E:Q,11,FALSE)),"")</f>
        <v>邵淑微</v>
      </c>
      <c r="AH225" s="226"/>
      <c r="AI225" s="226"/>
      <c r="AJ225" s="307"/>
      <c r="AK225" s="226"/>
      <c r="AL225" s="308">
        <v>341</v>
      </c>
      <c r="AM225" s="307" t="s">
        <v>722</v>
      </c>
      <c r="AN225" s="307" t="e">
        <f>VLOOKUP(功能_33[[#This Row],[功能代號]],工作表2!B:B,1,FALSE)</f>
        <v>#N/A</v>
      </c>
    </row>
    <row r="226" spans="1:40" ht="14.25" hidden="1" customHeight="1">
      <c r="A226" s="224">
        <v>212</v>
      </c>
      <c r="B226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6" s="307" t="s">
        <v>103</v>
      </c>
      <c r="D226" s="307"/>
      <c r="E226" s="308" t="s">
        <v>723</v>
      </c>
      <c r="F226" s="307" t="s">
        <v>724</v>
      </c>
      <c r="G226" s="307"/>
      <c r="H226" s="308" t="s">
        <v>203</v>
      </c>
      <c r="I226" s="308" t="s">
        <v>204</v>
      </c>
      <c r="J226" s="229"/>
      <c r="K226" s="226">
        <v>44475</v>
      </c>
      <c r="L226" s="226">
        <v>44482</v>
      </c>
      <c r="M226" s="226" t="str">
        <f>IFERROR(IF(VLOOKUP(功能_33[[#This Row],[功能代號]],討論項目!A:H,8,FALSE)=0,"",VLOOKUP(功能_33[[#This Row],[功能代號]],討論項目!A:H,8,FALSE)),"")</f>
        <v/>
      </c>
      <c r="N226" s="308" t="s">
        <v>12</v>
      </c>
      <c r="O226" s="308" t="s">
        <v>11</v>
      </c>
      <c r="P226" s="277" t="s">
        <v>18</v>
      </c>
      <c r="T226" s="308"/>
      <c r="V226" s="308"/>
      <c r="W226" s="308"/>
      <c r="X226" s="307" t="str">
        <f>VLOOKUP(功能_33[[#This Row],[User]],SKL放款!A:G,7,FALSE)</f>
        <v>放款服務課</v>
      </c>
      <c r="Y226" s="228">
        <f>IF(功能_33[[#This Row],[實際展示]]="","",功能_33[[#This Row],[實際展示]]+14)</f>
        <v>44496</v>
      </c>
      <c r="Z226" s="226" t="s">
        <v>2809</v>
      </c>
      <c r="AA226" s="226">
        <v>44496</v>
      </c>
      <c r="AB226" s="226">
        <v>44496</v>
      </c>
      <c r="AC226" s="226">
        <v>44512</v>
      </c>
      <c r="AD226" s="226" t="s">
        <v>198</v>
      </c>
      <c r="AE226" s="226"/>
      <c r="AF226" s="355"/>
      <c r="AG226" s="226" t="str">
        <f>IFERROR(IF(VLOOKUP(功能_33[[#This Row],[功能代號]],E:Q,11,FALSE)=0,"",VLOOKUP(功能_33[[#This Row],[功能代號]],E:Q,11,FALSE)),"")</f>
        <v>蔡珮瑜</v>
      </c>
      <c r="AH226" s="226"/>
      <c r="AI226" s="226"/>
      <c r="AJ226" s="307"/>
      <c r="AK226" s="228" t="s">
        <v>696</v>
      </c>
      <c r="AL226" s="308">
        <v>342</v>
      </c>
      <c r="AM226" s="307" t="s">
        <v>724</v>
      </c>
      <c r="AN226" s="307" t="e">
        <f>VLOOKUP(功能_33[[#This Row],[功能代號]],工作表2!B:B,1,FALSE)</f>
        <v>#N/A</v>
      </c>
    </row>
    <row r="227" spans="1:40" ht="14.25" hidden="1" customHeight="1">
      <c r="A227" s="224">
        <v>213</v>
      </c>
      <c r="B227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7" s="307" t="s">
        <v>103</v>
      </c>
      <c r="D227" s="307"/>
      <c r="E227" s="308" t="s">
        <v>725</v>
      </c>
      <c r="F227" s="307" t="s">
        <v>726</v>
      </c>
      <c r="G227" s="307"/>
      <c r="H227" s="308" t="s">
        <v>203</v>
      </c>
      <c r="I227" s="308" t="s">
        <v>204</v>
      </c>
      <c r="J227" s="229"/>
      <c r="K227" s="226">
        <v>44475</v>
      </c>
      <c r="L227" s="226">
        <v>44482</v>
      </c>
      <c r="M227" s="226">
        <f>IFERROR(IF(VLOOKUP(功能_33[[#This Row],[功能代號]],討論項目!A:H,8,FALSE)=0,"",VLOOKUP(功能_33[[#This Row],[功能代號]],討論項目!A:H,8,FALSE)),"")</f>
        <v>44510</v>
      </c>
      <c r="N227" s="308" t="s">
        <v>8</v>
      </c>
      <c r="O227" s="308" t="s">
        <v>24</v>
      </c>
      <c r="P227" s="277" t="s">
        <v>14</v>
      </c>
      <c r="T227" s="308"/>
      <c r="V227" s="308"/>
      <c r="W227" s="308"/>
      <c r="X227" s="307" t="str">
        <f>VLOOKUP(功能_33[[#This Row],[User]],SKL放款!A:G,7,FALSE)</f>
        <v>放款服務課</v>
      </c>
      <c r="Y227" s="228">
        <f>IF(功能_33[[#This Row],[實際展示]]="","",功能_33[[#This Row],[實際展示]]+14)</f>
        <v>44496</v>
      </c>
      <c r="Z227" s="226" t="s">
        <v>2808</v>
      </c>
      <c r="AA227" s="226">
        <v>44496</v>
      </c>
      <c r="AB227" s="226">
        <v>44496</v>
      </c>
      <c r="AC227" s="226">
        <v>44512</v>
      </c>
      <c r="AD227" s="226" t="s">
        <v>198</v>
      </c>
      <c r="AE227" s="226"/>
      <c r="AF227" s="355"/>
      <c r="AG227" s="226" t="str">
        <f>IFERROR(IF(VLOOKUP(功能_33[[#This Row],[功能代號]],E:Q,11,FALSE)=0,"",VLOOKUP(功能_33[[#This Row],[功能代號]],E:Q,11,FALSE)),"")</f>
        <v>邵淑微</v>
      </c>
      <c r="AH227" s="226"/>
      <c r="AI227" s="226"/>
      <c r="AJ227" s="307"/>
      <c r="AK227" s="228" t="s">
        <v>696</v>
      </c>
      <c r="AL227" s="308">
        <v>632</v>
      </c>
      <c r="AM227" s="307" t="s">
        <v>726</v>
      </c>
      <c r="AN227" s="307" t="str">
        <f>VLOOKUP(功能_33[[#This Row],[功能代號]],工作表2!B:B,1,FALSE)</f>
        <v>L3731</v>
      </c>
    </row>
    <row r="228" spans="1:40" ht="14.25" hidden="1" customHeight="1">
      <c r="A228" s="224">
        <v>215</v>
      </c>
      <c r="B228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8" s="307" t="s">
        <v>103</v>
      </c>
      <c r="D228" s="307"/>
      <c r="E228" s="308" t="s">
        <v>727</v>
      </c>
      <c r="F228" s="307" t="s">
        <v>728</v>
      </c>
      <c r="G228" s="307"/>
      <c r="H228" s="308" t="s">
        <v>203</v>
      </c>
      <c r="I228" s="308" t="s">
        <v>204</v>
      </c>
      <c r="J228" s="229"/>
      <c r="K228" s="226">
        <v>44475</v>
      </c>
      <c r="L228" s="226">
        <v>44482</v>
      </c>
      <c r="M228" s="226" t="str">
        <f>IFERROR(IF(VLOOKUP(功能_33[[#This Row],[功能代號]],討論項目!A:H,8,FALSE)=0,"",VLOOKUP(功能_33[[#This Row],[功能代號]],討論項目!A:H,8,FALSE)),"")</f>
        <v/>
      </c>
      <c r="N228" s="308" t="s">
        <v>12</v>
      </c>
      <c r="O228" s="308" t="s">
        <v>11</v>
      </c>
      <c r="T228" s="308"/>
      <c r="V228" s="308"/>
      <c r="W228" s="308"/>
      <c r="X228" s="307" t="str">
        <f>VLOOKUP(功能_33[[#This Row],[User]],SKL放款!A:G,7,FALSE)</f>
        <v>放款服務課</v>
      </c>
      <c r="Y228" s="228">
        <f>IF(功能_33[[#This Row],[實際展示]]="","",功能_33[[#This Row],[實際展示]]+14)</f>
        <v>44496</v>
      </c>
      <c r="Z228" s="226" t="s">
        <v>2809</v>
      </c>
      <c r="AA228" s="226">
        <v>44496</v>
      </c>
      <c r="AB228" s="226">
        <v>44496</v>
      </c>
      <c r="AC228" s="226">
        <v>44512</v>
      </c>
      <c r="AD228" s="226" t="s">
        <v>198</v>
      </c>
      <c r="AE228" s="226"/>
      <c r="AF228" s="355"/>
      <c r="AG228" s="226" t="str">
        <f>IFERROR(IF(VLOOKUP(功能_33[[#This Row],[功能代號]],E:Q,11,FALSE)=0,"",VLOOKUP(功能_33[[#This Row],[功能代號]],E:Q,11,FALSE)),"")</f>
        <v>蔡珮瑜</v>
      </c>
      <c r="AH228" s="226"/>
      <c r="AI228" s="226"/>
      <c r="AJ228" s="307"/>
      <c r="AK228" s="226"/>
      <c r="AL228" s="308">
        <v>346</v>
      </c>
      <c r="AM228" s="307" t="s">
        <v>729</v>
      </c>
      <c r="AN228" s="307" t="e">
        <f>VLOOKUP(功能_33[[#This Row],[功能代號]],工作表2!B:B,1,FALSE)</f>
        <v>#N/A</v>
      </c>
    </row>
    <row r="229" spans="1:40" ht="14.25" hidden="1" customHeight="1">
      <c r="A229" s="224">
        <v>216</v>
      </c>
      <c r="B229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307" t="s">
        <v>103</v>
      </c>
      <c r="D229" s="307"/>
      <c r="E229" s="308" t="s">
        <v>730</v>
      </c>
      <c r="F229" s="307" t="s">
        <v>731</v>
      </c>
      <c r="G229" s="307"/>
      <c r="H229" s="308" t="s">
        <v>203</v>
      </c>
      <c r="I229" s="308" t="s">
        <v>204</v>
      </c>
      <c r="J229" s="229"/>
      <c r="K229" s="226">
        <v>44475</v>
      </c>
      <c r="L229" s="226">
        <v>44482</v>
      </c>
      <c r="M229" s="226" t="str">
        <f>IFERROR(IF(VLOOKUP(功能_33[[#This Row],[功能代號]],討論項目!A:H,8,FALSE)=0,"",VLOOKUP(功能_33[[#This Row],[功能代號]],討論項目!A:H,8,FALSE)),"")</f>
        <v/>
      </c>
      <c r="N229" s="308" t="s">
        <v>12</v>
      </c>
      <c r="O229" s="308" t="s">
        <v>11</v>
      </c>
      <c r="T229" s="308"/>
      <c r="V229" s="308"/>
      <c r="W229" s="308"/>
      <c r="X229" s="307" t="str">
        <f>VLOOKUP(功能_33[[#This Row],[User]],SKL放款!A:G,7,FALSE)</f>
        <v>放款服務課</v>
      </c>
      <c r="Y229" s="228">
        <f>IF(功能_33[[#This Row],[實際展示]]="","",功能_33[[#This Row],[實際展示]]+14)</f>
        <v>44496</v>
      </c>
      <c r="Z229" s="226" t="s">
        <v>2809</v>
      </c>
      <c r="AA229" s="226">
        <v>44496</v>
      </c>
      <c r="AB229" s="226">
        <v>44496</v>
      </c>
      <c r="AC229" s="226">
        <v>44512</v>
      </c>
      <c r="AD229" s="226" t="s">
        <v>198</v>
      </c>
      <c r="AE229" s="226"/>
      <c r="AF229" s="355"/>
      <c r="AG229" s="226" t="str">
        <f>IFERROR(IF(VLOOKUP(功能_33[[#This Row],[功能代號]],E:Q,11,FALSE)=0,"",VLOOKUP(功能_33[[#This Row],[功能代號]],E:Q,11,FALSE)),"")</f>
        <v>蔡珮瑜</v>
      </c>
      <c r="AH229" s="226"/>
      <c r="AI229" s="226"/>
      <c r="AJ229" s="307"/>
      <c r="AK229" s="226"/>
      <c r="AL229" s="308">
        <v>347</v>
      </c>
      <c r="AM229" s="307" t="s">
        <v>732</v>
      </c>
      <c r="AN229" s="307" t="e">
        <f>VLOOKUP(功能_33[[#This Row],[功能代號]],工作表2!B:B,1,FALSE)</f>
        <v>#N/A</v>
      </c>
    </row>
    <row r="230" spans="1:40" ht="14.25" hidden="1" customHeight="1">
      <c r="A230" s="224">
        <v>177</v>
      </c>
      <c r="B230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307" t="s">
        <v>102</v>
      </c>
      <c r="D230" s="307"/>
      <c r="E230" s="308" t="s">
        <v>733</v>
      </c>
      <c r="F230" s="307" t="s">
        <v>734</v>
      </c>
      <c r="G230" s="307"/>
      <c r="H230" s="308" t="s">
        <v>203</v>
      </c>
      <c r="I230" s="308" t="s">
        <v>239</v>
      </c>
      <c r="J230" s="229"/>
      <c r="K230" s="226">
        <v>44475</v>
      </c>
      <c r="L230" s="226">
        <v>44475</v>
      </c>
      <c r="M230" s="226" t="str">
        <f>IFERROR(IF(VLOOKUP(功能_33[[#This Row],[功能代號]],討論項目!A:H,8,FALSE)=0,"",VLOOKUP(功能_33[[#This Row],[功能代號]],討論項目!A:H,8,FALSE)),"")</f>
        <v/>
      </c>
      <c r="N230" s="308" t="s">
        <v>7</v>
      </c>
      <c r="O230" s="308" t="s">
        <v>14</v>
      </c>
      <c r="T230" s="308"/>
      <c r="V230" s="308"/>
      <c r="W230" s="308"/>
      <c r="X230" s="307" t="str">
        <f>VLOOKUP(功能_33[[#This Row],[User]],SKL放款!A:G,7,FALSE)</f>
        <v>放款管理課</v>
      </c>
      <c r="Y230" s="228">
        <f>IF(功能_33[[#This Row],[實際展示]]="","",功能_33[[#This Row],[實際展示]]+14)</f>
        <v>44489</v>
      </c>
      <c r="Z230" s="226" t="s">
        <v>205</v>
      </c>
      <c r="AA230" s="226">
        <v>44477</v>
      </c>
      <c r="AB230" s="226">
        <v>44477</v>
      </c>
      <c r="AC230" s="226"/>
      <c r="AD230" s="226" t="s">
        <v>198</v>
      </c>
      <c r="AE230" s="226"/>
      <c r="AF230" s="355"/>
      <c r="AG230" s="226" t="str">
        <f>IFERROR(IF(VLOOKUP(功能_33[[#This Row],[功能代號]],E:Q,11,FALSE)=0,"",VLOOKUP(功能_33[[#This Row],[功能代號]],E:Q,11,FALSE)),"")</f>
        <v>張舜雯</v>
      </c>
      <c r="AH230" s="226"/>
      <c r="AI230" s="226"/>
      <c r="AJ230" s="307"/>
      <c r="AK230" s="226"/>
      <c r="AL230" s="308">
        <v>226</v>
      </c>
      <c r="AM230" s="307" t="s">
        <v>735</v>
      </c>
      <c r="AN230" s="307" t="e">
        <f>VLOOKUP(功能_33[[#This Row],[功能代號]],工作表2!B:B,1,FALSE)</f>
        <v>#N/A</v>
      </c>
    </row>
    <row r="231" spans="1:40" ht="14.25" hidden="1" customHeight="1">
      <c r="A231" s="224">
        <v>172</v>
      </c>
      <c r="B231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307" t="s">
        <v>102</v>
      </c>
      <c r="D231" s="307"/>
      <c r="E231" s="308" t="s">
        <v>736</v>
      </c>
      <c r="F231" s="307" t="s">
        <v>737</v>
      </c>
      <c r="G231" s="307"/>
      <c r="H231" s="308" t="s">
        <v>203</v>
      </c>
      <c r="I231" s="308" t="s">
        <v>239</v>
      </c>
      <c r="J231" s="229"/>
      <c r="K231" s="226">
        <v>44482</v>
      </c>
      <c r="L231" s="226">
        <v>44475</v>
      </c>
      <c r="M231" s="226">
        <f>IFERROR(IF(VLOOKUP(功能_33[[#This Row],[功能代號]],討論項目!A:H,8,FALSE)=0,"",VLOOKUP(功能_33[[#This Row],[功能代號]],討論項目!A:H,8,FALSE)),"")</f>
        <v>44475</v>
      </c>
      <c r="N231" s="308" t="s">
        <v>7</v>
      </c>
      <c r="O231" s="308" t="s">
        <v>14</v>
      </c>
      <c r="T231" s="308"/>
      <c r="V231" s="308"/>
      <c r="W231" s="308"/>
      <c r="X231" s="307" t="str">
        <f>VLOOKUP(功能_33[[#This Row],[User]],SKL放款!A:G,7,FALSE)</f>
        <v>放款管理課</v>
      </c>
      <c r="Y231" s="228">
        <f>IF(功能_33[[#This Row],[實際展示]]="","",功能_33[[#This Row],[實際展示]]+14)</f>
        <v>44489</v>
      </c>
      <c r="Z231" s="226" t="s">
        <v>213</v>
      </c>
      <c r="AA231" s="226"/>
      <c r="AB231" s="226"/>
      <c r="AC231" s="226"/>
      <c r="AD231" s="226"/>
      <c r="AE231" s="226"/>
      <c r="AF231" s="355"/>
      <c r="AG231" s="226" t="str">
        <f>IFERROR(IF(VLOOKUP(功能_33[[#This Row],[功能代號]],E:Q,11,FALSE)=0,"",VLOOKUP(功能_33[[#This Row],[功能代號]],E:Q,11,FALSE)),"")</f>
        <v>張舜雯</v>
      </c>
      <c r="AH231" s="226"/>
      <c r="AI231" s="226"/>
      <c r="AJ231" s="307"/>
      <c r="AK231" s="226"/>
      <c r="AL231" s="308">
        <v>226</v>
      </c>
      <c r="AM231" s="307" t="s">
        <v>738</v>
      </c>
      <c r="AN231" s="307" t="str">
        <f>VLOOKUP(功能_33[[#This Row],[功能代號]],工作表2!B:B,1,FALSE)</f>
        <v>L2078</v>
      </c>
    </row>
    <row r="232" spans="1:40" ht="14.25" hidden="1" customHeight="1">
      <c r="A232" s="224">
        <v>173</v>
      </c>
      <c r="B2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2" s="307" t="s">
        <v>102</v>
      </c>
      <c r="D232" s="307"/>
      <c r="E232" s="308" t="s">
        <v>739</v>
      </c>
      <c r="F232" s="307" t="s">
        <v>740</v>
      </c>
      <c r="G232" s="307"/>
      <c r="H232" s="308" t="s">
        <v>203</v>
      </c>
      <c r="I232" s="308" t="s">
        <v>239</v>
      </c>
      <c r="J232" s="229"/>
      <c r="K232" s="226">
        <v>44482</v>
      </c>
      <c r="L232" s="226">
        <v>44475</v>
      </c>
      <c r="M232" s="226" t="str">
        <f>IFERROR(IF(VLOOKUP(功能_33[[#This Row],[功能代號]],討論項目!A:H,8,FALSE)=0,"",VLOOKUP(功能_33[[#This Row],[功能代號]],討論項目!A:H,8,FALSE)),"")</f>
        <v/>
      </c>
      <c r="N232" s="308" t="s">
        <v>7</v>
      </c>
      <c r="O232" s="308" t="s">
        <v>14</v>
      </c>
      <c r="T232" s="308"/>
      <c r="V232" s="308"/>
      <c r="W232" s="308"/>
      <c r="X232" s="307" t="str">
        <f>VLOOKUP(功能_33[[#This Row],[User]],SKL放款!A:G,7,FALSE)</f>
        <v>放款管理課</v>
      </c>
      <c r="Y232" s="228">
        <f>IF(功能_33[[#This Row],[實際展示]]="","",功能_33[[#This Row],[實際展示]]+14)</f>
        <v>44489</v>
      </c>
      <c r="Z232" s="226" t="s">
        <v>205</v>
      </c>
      <c r="AA232" s="226">
        <v>44477</v>
      </c>
      <c r="AB232" s="226">
        <v>44477</v>
      </c>
      <c r="AC232" s="226"/>
      <c r="AD232" s="226" t="s">
        <v>198</v>
      </c>
      <c r="AE232" s="226"/>
      <c r="AF232" s="355"/>
      <c r="AG232" s="226" t="str">
        <f>IFERROR(IF(VLOOKUP(功能_33[[#This Row],[功能代號]],E:Q,11,FALSE)=0,"",VLOOKUP(功能_33[[#This Row],[功能代號]],E:Q,11,FALSE)),"")</f>
        <v>張舜雯</v>
      </c>
      <c r="AH232" s="226"/>
      <c r="AI232" s="226"/>
      <c r="AJ232" s="307"/>
      <c r="AK232" s="226"/>
      <c r="AL232" s="308">
        <v>226</v>
      </c>
      <c r="AM232" s="307" t="s">
        <v>741</v>
      </c>
      <c r="AN232" s="307" t="e">
        <f>VLOOKUP(功能_33[[#This Row],[功能代號]],工作表2!B:B,1,FALSE)</f>
        <v>#N/A</v>
      </c>
    </row>
    <row r="233" spans="1:40" ht="14.25" hidden="1" customHeight="1">
      <c r="A233" s="224">
        <v>174</v>
      </c>
      <c r="B23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3" s="307" t="s">
        <v>102</v>
      </c>
      <c r="D233" s="307"/>
      <c r="E233" s="308" t="s">
        <v>742</v>
      </c>
      <c r="F233" s="307" t="s">
        <v>743</v>
      </c>
      <c r="G233" s="307"/>
      <c r="H233" s="308" t="s">
        <v>203</v>
      </c>
      <c r="I233" s="308" t="s">
        <v>239</v>
      </c>
      <c r="J233" s="229"/>
      <c r="K233" s="226">
        <v>44482</v>
      </c>
      <c r="L233" s="226">
        <v>44475</v>
      </c>
      <c r="M233" s="226" t="str">
        <f>IFERROR(IF(VLOOKUP(功能_33[[#This Row],[功能代號]],討論項目!A:H,8,FALSE)=0,"",VLOOKUP(功能_33[[#This Row],[功能代號]],討論項目!A:H,8,FALSE)),"")</f>
        <v/>
      </c>
      <c r="N233" s="308" t="s">
        <v>7</v>
      </c>
      <c r="O233" s="308" t="s">
        <v>14</v>
      </c>
      <c r="T233" s="308"/>
      <c r="V233" s="308"/>
      <c r="W233" s="308"/>
      <c r="X233" s="307" t="str">
        <f>VLOOKUP(功能_33[[#This Row],[User]],SKL放款!A:G,7,FALSE)</f>
        <v>放款管理課</v>
      </c>
      <c r="Y233" s="228">
        <f>IF(功能_33[[#This Row],[實際展示]]="","",功能_33[[#This Row],[實際展示]]+14)</f>
        <v>44489</v>
      </c>
      <c r="Z233" s="226" t="s">
        <v>205</v>
      </c>
      <c r="AA233" s="226">
        <v>44477</v>
      </c>
      <c r="AB233" s="226">
        <v>44477</v>
      </c>
      <c r="AC233" s="226"/>
      <c r="AD233" s="226" t="s">
        <v>198</v>
      </c>
      <c r="AE233" s="226"/>
      <c r="AF233" s="355"/>
      <c r="AG233" s="226" t="str">
        <f>IFERROR(IF(VLOOKUP(功能_33[[#This Row],[功能代號]],E:Q,11,FALSE)=0,"",VLOOKUP(功能_33[[#This Row],[功能代號]],E:Q,11,FALSE)),"")</f>
        <v>張舜雯</v>
      </c>
      <c r="AH233" s="226"/>
      <c r="AI233" s="226"/>
      <c r="AJ233" s="307"/>
      <c r="AK233" s="226"/>
      <c r="AL233" s="308">
        <v>226</v>
      </c>
      <c r="AM233" s="307" t="s">
        <v>744</v>
      </c>
      <c r="AN233" s="307" t="e">
        <f>VLOOKUP(功能_33[[#This Row],[功能代號]],工作表2!B:B,1,FALSE)</f>
        <v>#N/A</v>
      </c>
    </row>
    <row r="234" spans="1:40" ht="14.25" hidden="1" customHeight="1">
      <c r="A234" s="224">
        <v>175</v>
      </c>
      <c r="B234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4" s="307" t="s">
        <v>102</v>
      </c>
      <c r="D234" s="307"/>
      <c r="E234" s="308" t="s">
        <v>745</v>
      </c>
      <c r="F234" s="307" t="s">
        <v>746</v>
      </c>
      <c r="G234" s="307"/>
      <c r="H234" s="308" t="s">
        <v>203</v>
      </c>
      <c r="I234" s="308" t="s">
        <v>239</v>
      </c>
      <c r="J234" s="229"/>
      <c r="K234" s="226">
        <v>44482</v>
      </c>
      <c r="L234" s="226">
        <v>44475</v>
      </c>
      <c r="M234" s="226" t="str">
        <f>IFERROR(IF(VLOOKUP(功能_33[[#This Row],[功能代號]],討論項目!A:H,8,FALSE)=0,"",VLOOKUP(功能_33[[#This Row],[功能代號]],討論項目!A:H,8,FALSE)),"")</f>
        <v/>
      </c>
      <c r="N234" s="308" t="s">
        <v>7</v>
      </c>
      <c r="O234" s="308" t="s">
        <v>14</v>
      </c>
      <c r="T234" s="308"/>
      <c r="V234" s="308"/>
      <c r="W234" s="308"/>
      <c r="X234" s="307" t="str">
        <f>VLOOKUP(功能_33[[#This Row],[User]],SKL放款!A:G,7,FALSE)</f>
        <v>放款管理課</v>
      </c>
      <c r="Y234" s="228">
        <f>IF(功能_33[[#This Row],[實際展示]]="","",功能_33[[#This Row],[實際展示]]+14)</f>
        <v>44489</v>
      </c>
      <c r="Z234" s="226" t="s">
        <v>205</v>
      </c>
      <c r="AA234" s="226">
        <v>44477</v>
      </c>
      <c r="AB234" s="226">
        <v>44477</v>
      </c>
      <c r="AC234" s="226"/>
      <c r="AD234" s="226" t="s">
        <v>198</v>
      </c>
      <c r="AE234" s="226"/>
      <c r="AF234" s="355"/>
      <c r="AG234" s="226" t="str">
        <f>IFERROR(IF(VLOOKUP(功能_33[[#This Row],[功能代號]],E:Q,11,FALSE)=0,"",VLOOKUP(功能_33[[#This Row],[功能代號]],E:Q,11,FALSE)),"")</f>
        <v>張舜雯</v>
      </c>
      <c r="AH234" s="226"/>
      <c r="AI234" s="226"/>
      <c r="AJ234" s="307"/>
      <c r="AK234" s="226"/>
      <c r="AL234" s="308">
        <v>226</v>
      </c>
      <c r="AM234" s="307" t="s">
        <v>747</v>
      </c>
      <c r="AN234" s="307" t="e">
        <f>VLOOKUP(功能_33[[#This Row],[功能代號]],工作表2!B:B,1,FALSE)</f>
        <v>#N/A</v>
      </c>
    </row>
    <row r="235" spans="1:40" ht="14.25" hidden="1" customHeight="1">
      <c r="A235" s="224">
        <v>176</v>
      </c>
      <c r="B235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307" t="s">
        <v>102</v>
      </c>
      <c r="D235" s="307"/>
      <c r="E235" s="308" t="s">
        <v>748</v>
      </c>
      <c r="F235" s="307" t="s">
        <v>749</v>
      </c>
      <c r="G235" s="307"/>
      <c r="H235" s="308" t="s">
        <v>203</v>
      </c>
      <c r="I235" s="308" t="s">
        <v>239</v>
      </c>
      <c r="J235" s="229"/>
      <c r="K235" s="226">
        <v>44482</v>
      </c>
      <c r="L235" s="226">
        <v>44475</v>
      </c>
      <c r="M235" s="226" t="str">
        <f>IFERROR(IF(VLOOKUP(功能_33[[#This Row],[功能代號]],討論項目!A:H,8,FALSE)=0,"",VLOOKUP(功能_33[[#This Row],[功能代號]],討論項目!A:H,8,FALSE)),"")</f>
        <v/>
      </c>
      <c r="N235" s="308" t="s">
        <v>7</v>
      </c>
      <c r="O235" s="308" t="s">
        <v>14</v>
      </c>
      <c r="T235" s="308"/>
      <c r="V235" s="308"/>
      <c r="W235" s="308"/>
      <c r="X235" s="307" t="str">
        <f>VLOOKUP(功能_33[[#This Row],[User]],SKL放款!A:G,7,FALSE)</f>
        <v>放款管理課</v>
      </c>
      <c r="Y235" s="228">
        <f>IF(功能_33[[#This Row],[實際展示]]="","",功能_33[[#This Row],[實際展示]]+14)</f>
        <v>44489</v>
      </c>
      <c r="Z235" s="226" t="s">
        <v>205</v>
      </c>
      <c r="AA235" s="226">
        <v>44477</v>
      </c>
      <c r="AB235" s="226">
        <v>44477</v>
      </c>
      <c r="AC235" s="226"/>
      <c r="AD235" s="226" t="s">
        <v>198</v>
      </c>
      <c r="AE235" s="226"/>
      <c r="AF235" s="355"/>
      <c r="AG235" s="226" t="str">
        <f>IFERROR(IF(VLOOKUP(功能_33[[#This Row],[功能代號]],E:Q,11,FALSE)=0,"",VLOOKUP(功能_33[[#This Row],[功能代號]],E:Q,11,FALSE)),"")</f>
        <v>張舜雯</v>
      </c>
      <c r="AH235" s="226"/>
      <c r="AI235" s="226"/>
      <c r="AJ235" s="307"/>
      <c r="AK235" s="226"/>
      <c r="AL235" s="308">
        <v>226</v>
      </c>
      <c r="AM235" s="307" t="s">
        <v>750</v>
      </c>
      <c r="AN235" s="307" t="e">
        <f>VLOOKUP(功能_33[[#This Row],[功能代號]],工作表2!B:B,1,FALSE)</f>
        <v>#N/A</v>
      </c>
    </row>
    <row r="236" spans="1:40" ht="14.25" hidden="1" customHeight="1">
      <c r="A236" s="224">
        <v>178</v>
      </c>
      <c r="B236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307" t="s">
        <v>102</v>
      </c>
      <c r="D236" s="307"/>
      <c r="E236" s="308" t="s">
        <v>751</v>
      </c>
      <c r="F236" s="307" t="s">
        <v>752</v>
      </c>
      <c r="G236" s="307"/>
      <c r="H236" s="308" t="s">
        <v>203</v>
      </c>
      <c r="I236" s="308" t="s">
        <v>239</v>
      </c>
      <c r="J236" s="229"/>
      <c r="K236" s="226">
        <v>44487</v>
      </c>
      <c r="L236" s="226">
        <v>44475</v>
      </c>
      <c r="M236" s="226" t="str">
        <f>IFERROR(IF(VLOOKUP(功能_33[[#This Row],[功能代號]],討論項目!A:H,8,FALSE)=0,"",VLOOKUP(功能_33[[#This Row],[功能代號]],討論項目!A:H,8,FALSE)),"")</f>
        <v/>
      </c>
      <c r="N236" s="308" t="s">
        <v>7</v>
      </c>
      <c r="O236" s="308" t="s">
        <v>14</v>
      </c>
      <c r="T236" s="308"/>
      <c r="V236" s="308"/>
      <c r="W236" s="308"/>
      <c r="X236" s="307" t="str">
        <f>VLOOKUP(功能_33[[#This Row],[User]],SKL放款!A:G,7,FALSE)</f>
        <v>放款管理課</v>
      </c>
      <c r="Y236" s="228">
        <f>IF(功能_33[[#This Row],[實際展示]]="","",功能_33[[#This Row],[實際展示]]+14)</f>
        <v>44489</v>
      </c>
      <c r="Z236" s="226" t="s">
        <v>205</v>
      </c>
      <c r="AA236" s="226">
        <v>44477</v>
      </c>
      <c r="AB236" s="226">
        <v>44477</v>
      </c>
      <c r="AC236" s="226"/>
      <c r="AD236" s="226" t="s">
        <v>198</v>
      </c>
      <c r="AE236" s="226"/>
      <c r="AF236" s="355"/>
      <c r="AG236" s="226" t="str">
        <f>IFERROR(IF(VLOOKUP(功能_33[[#This Row],[功能代號]],E:Q,11,FALSE)=0,"",VLOOKUP(功能_33[[#This Row],[功能代號]],E:Q,11,FALSE)),"")</f>
        <v>張舜雯</v>
      </c>
      <c r="AH236" s="226"/>
      <c r="AI236" s="226"/>
      <c r="AJ236" s="307"/>
      <c r="AK236" s="226"/>
      <c r="AL236" s="308">
        <v>226</v>
      </c>
      <c r="AM236" s="307" t="s">
        <v>753</v>
      </c>
      <c r="AN236" s="307" t="e">
        <f>VLOOKUP(功能_33[[#This Row],[功能代號]],工作表2!B:B,1,FALSE)</f>
        <v>#N/A</v>
      </c>
    </row>
    <row r="237" spans="1:40" ht="14.25" hidden="1" customHeight="1">
      <c r="A237" s="224">
        <v>179</v>
      </c>
      <c r="B237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307" t="s">
        <v>102</v>
      </c>
      <c r="D237" s="307"/>
      <c r="E237" s="308" t="s">
        <v>754</v>
      </c>
      <c r="F237" s="307" t="s">
        <v>755</v>
      </c>
      <c r="G237" s="307"/>
      <c r="H237" s="308" t="s">
        <v>203</v>
      </c>
      <c r="I237" s="308" t="s">
        <v>239</v>
      </c>
      <c r="J237" s="229"/>
      <c r="K237" s="226">
        <v>44487</v>
      </c>
      <c r="L237" s="226">
        <v>44475</v>
      </c>
      <c r="M237" s="226" t="str">
        <f>IFERROR(IF(VLOOKUP(功能_33[[#This Row],[功能代號]],討論項目!A:H,8,FALSE)=0,"",VLOOKUP(功能_33[[#This Row],[功能代號]],討論項目!A:H,8,FALSE)),"")</f>
        <v/>
      </c>
      <c r="N237" s="308" t="s">
        <v>7</v>
      </c>
      <c r="O237" s="308" t="s">
        <v>14</v>
      </c>
      <c r="T237" s="308"/>
      <c r="V237" s="308"/>
      <c r="W237" s="308"/>
      <c r="X237" s="307" t="str">
        <f>VLOOKUP(功能_33[[#This Row],[User]],SKL放款!A:G,7,FALSE)</f>
        <v>放款管理課</v>
      </c>
      <c r="Y237" s="228">
        <f>IF(功能_33[[#This Row],[實際展示]]="","",功能_33[[#This Row],[實際展示]]+14)</f>
        <v>44489</v>
      </c>
      <c r="Z237" s="226" t="s">
        <v>205</v>
      </c>
      <c r="AA237" s="226">
        <v>44477</v>
      </c>
      <c r="AB237" s="226">
        <v>44477</v>
      </c>
      <c r="AC237" s="226"/>
      <c r="AD237" s="226" t="s">
        <v>198</v>
      </c>
      <c r="AE237" s="226"/>
      <c r="AF237" s="355"/>
      <c r="AG237" s="226" t="str">
        <f>IFERROR(IF(VLOOKUP(功能_33[[#This Row],[功能代號]],E:Q,11,FALSE)=0,"",VLOOKUP(功能_33[[#This Row],[功能代號]],E:Q,11,FALSE)),"")</f>
        <v>張舜雯</v>
      </c>
      <c r="AH237" s="226"/>
      <c r="AI237" s="226"/>
      <c r="AJ237" s="307"/>
      <c r="AK237" s="226"/>
      <c r="AL237" s="308">
        <v>226</v>
      </c>
      <c r="AM237" s="307" t="s">
        <v>756</v>
      </c>
      <c r="AN237" s="307" t="e">
        <f>VLOOKUP(功能_33[[#This Row],[功能代號]],工作表2!B:B,1,FALSE)</f>
        <v>#N/A</v>
      </c>
    </row>
    <row r="238" spans="1:40" ht="14.25" hidden="1" customHeight="1">
      <c r="A238" s="224"/>
      <c r="B238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8" s="307" t="s">
        <v>102</v>
      </c>
      <c r="D238" s="307"/>
      <c r="E238" s="308" t="s">
        <v>757</v>
      </c>
      <c r="F238" s="307" t="s">
        <v>758</v>
      </c>
      <c r="G238" s="307"/>
      <c r="H238" s="308" t="s">
        <v>203</v>
      </c>
      <c r="I238" s="308" t="s">
        <v>239</v>
      </c>
      <c r="J238" s="229"/>
      <c r="K238" s="226">
        <v>44487</v>
      </c>
      <c r="L238" s="226">
        <v>44488</v>
      </c>
      <c r="M238" s="226" t="str">
        <f>IFERROR(IF(VLOOKUP(功能_33[[#This Row],[功能代號]],討論項目!A:H,8,FALSE)=0,"",VLOOKUP(功能_33[[#This Row],[功能代號]],討論項目!A:H,8,FALSE)),"")</f>
        <v/>
      </c>
      <c r="N238" s="308" t="s">
        <v>7</v>
      </c>
      <c r="O238" s="308" t="s">
        <v>24</v>
      </c>
      <c r="P238" s="277" t="s">
        <v>14</v>
      </c>
      <c r="Q238" s="307" t="s">
        <v>759</v>
      </c>
      <c r="T238" s="308"/>
      <c r="V238" s="308"/>
      <c r="W238" s="308"/>
      <c r="X238" s="307" t="str">
        <f>VLOOKUP(功能_33[[#This Row],[User]],SKL放款!A:G,7,FALSE)</f>
        <v>放款服務課</v>
      </c>
      <c r="Y238" s="228">
        <f>IF(功能_33[[#This Row],[實際展示]]="","",功能_33[[#This Row],[實際展示]]+14)</f>
        <v>44502</v>
      </c>
      <c r="Z238" s="226" t="s">
        <v>205</v>
      </c>
      <c r="AA238" s="226">
        <v>44477</v>
      </c>
      <c r="AB238" s="226">
        <v>44477</v>
      </c>
      <c r="AC238" s="226"/>
      <c r="AD238" s="226" t="s">
        <v>198</v>
      </c>
      <c r="AE238" s="228"/>
      <c r="AF238" s="226"/>
      <c r="AG238" s="228" t="str">
        <f>IFERROR(IF(VLOOKUP(功能_33[[#This Row],[功能代號]],E:Q,11,FALSE)=0,"",VLOOKUP(功能_33[[#This Row],[功能代號]],E:Q,11,FALSE)),"")</f>
        <v>邵淑微</v>
      </c>
      <c r="AH238" s="307">
        <v>180</v>
      </c>
      <c r="AI238" s="307"/>
      <c r="AJ238" s="307"/>
      <c r="AL238" s="308">
        <v>226</v>
      </c>
      <c r="AM238" s="307" t="s">
        <v>760</v>
      </c>
      <c r="AN238" s="307" t="e">
        <f>VLOOKUP(功能_33[[#This Row],[功能代號]],工作表2!B:B,1,FALSE)</f>
        <v>#N/A</v>
      </c>
    </row>
    <row r="239" spans="1:40" ht="14.25" hidden="1" customHeight="1">
      <c r="A239" s="224">
        <v>118</v>
      </c>
      <c r="B239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9" s="307" t="s">
        <v>104</v>
      </c>
      <c r="D239" s="307" t="s">
        <v>444</v>
      </c>
      <c r="E239" s="308" t="s">
        <v>761</v>
      </c>
      <c r="F239" s="307" t="s">
        <v>762</v>
      </c>
      <c r="G239" s="307"/>
      <c r="H239" s="308" t="s">
        <v>203</v>
      </c>
      <c r="I239" s="308" t="s">
        <v>447</v>
      </c>
      <c r="J239" s="229"/>
      <c r="K239" s="226">
        <v>44488</v>
      </c>
      <c r="L239" s="226">
        <v>44488</v>
      </c>
      <c r="M239" s="226" t="str">
        <f>IFERROR(IF(VLOOKUP(功能_33[[#This Row],[功能代號]],討論項目!A:H,8,FALSE)=0,"",VLOOKUP(功能_33[[#This Row],[功能代號]],討論項目!A:H,8,FALSE)),"")</f>
        <v/>
      </c>
      <c r="N239" s="308" t="s">
        <v>10</v>
      </c>
      <c r="O239" s="308" t="s">
        <v>24</v>
      </c>
      <c r="T239" s="308"/>
      <c r="V239" s="308"/>
      <c r="W239" s="308"/>
      <c r="X239" s="307" t="str">
        <f>VLOOKUP(功能_33[[#This Row],[User]],SKL放款!A:G,7,FALSE)</f>
        <v>放款服務課</v>
      </c>
      <c r="Y239" s="228">
        <f>IF(功能_33[[#This Row],[實際展示]]="","",功能_33[[#This Row],[實際展示]]+14)</f>
        <v>44502</v>
      </c>
      <c r="Z239" s="226" t="s">
        <v>213</v>
      </c>
      <c r="AA239" s="226">
        <v>44524</v>
      </c>
      <c r="AB239" s="226"/>
      <c r="AC239" s="226"/>
      <c r="AD239" s="226"/>
      <c r="AE239" s="226"/>
      <c r="AF239" s="355"/>
      <c r="AG239" s="226" t="str">
        <f>IFERROR(IF(VLOOKUP(功能_33[[#This Row],[功能代號]],E:Q,11,FALSE)=0,"",VLOOKUP(功能_33[[#This Row],[功能代號]],E:Q,11,FALSE)),"")</f>
        <v>邵淑微</v>
      </c>
      <c r="AH239" s="226"/>
      <c r="AI239" s="226"/>
      <c r="AJ239" s="307"/>
      <c r="AK239" s="226"/>
      <c r="AN239" s="307" t="str">
        <f>VLOOKUP(功能_33[[#This Row],[功能代號]],工作表2!B:B,1,FALSE)</f>
        <v>L4604</v>
      </c>
    </row>
    <row r="240" spans="1:40" ht="14.25" hidden="1" customHeight="1">
      <c r="A240" s="224">
        <v>119</v>
      </c>
      <c r="B240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0" s="307" t="s">
        <v>104</v>
      </c>
      <c r="D240" s="307" t="s">
        <v>444</v>
      </c>
      <c r="E240" s="308" t="s">
        <v>763</v>
      </c>
      <c r="F240" s="307" t="s">
        <v>764</v>
      </c>
      <c r="G240" s="307"/>
      <c r="H240" s="308" t="s">
        <v>203</v>
      </c>
      <c r="I240" s="308" t="s">
        <v>447</v>
      </c>
      <c r="J240" s="229"/>
      <c r="K240" s="226">
        <v>44488</v>
      </c>
      <c r="L240" s="226">
        <v>44488</v>
      </c>
      <c r="M240" s="226" t="str">
        <f>IFERROR(IF(VLOOKUP(功能_33[[#This Row],[功能代號]],討論項目!A:H,8,FALSE)=0,"",VLOOKUP(功能_33[[#This Row],[功能代號]],討論項目!A:H,8,FALSE)),"")</f>
        <v/>
      </c>
      <c r="N240" s="308" t="s">
        <v>10</v>
      </c>
      <c r="O240" s="308" t="s">
        <v>24</v>
      </c>
      <c r="T240" s="308"/>
      <c r="V240" s="308"/>
      <c r="W240" s="308"/>
      <c r="X240" s="307" t="str">
        <f>VLOOKUP(功能_33[[#This Row],[User]],SKL放款!A:G,7,FALSE)</f>
        <v>放款服務課</v>
      </c>
      <c r="Y240" s="228">
        <f>IF(功能_33[[#This Row],[實際展示]]="","",功能_33[[#This Row],[實際展示]]+14)</f>
        <v>44502</v>
      </c>
      <c r="Z240" s="226" t="s">
        <v>213</v>
      </c>
      <c r="AA240" s="226">
        <v>44524</v>
      </c>
      <c r="AB240" s="226"/>
      <c r="AC240" s="226"/>
      <c r="AD240" s="226"/>
      <c r="AE240" s="226"/>
      <c r="AF240" s="355"/>
      <c r="AG240" s="226" t="str">
        <f>IFERROR(IF(VLOOKUP(功能_33[[#This Row],[功能代號]],E:Q,11,FALSE)=0,"",VLOOKUP(功能_33[[#This Row],[功能代號]],E:Q,11,FALSE)),"")</f>
        <v>邵淑微</v>
      </c>
      <c r="AH240" s="226"/>
      <c r="AI240" s="226"/>
      <c r="AJ240" s="307"/>
      <c r="AK240" s="226"/>
      <c r="AN240" s="307" t="str">
        <f>VLOOKUP(功能_33[[#This Row],[功能代號]],工作表2!B:B,1,FALSE)</f>
        <v>L4605</v>
      </c>
    </row>
    <row r="241" spans="1:40" ht="14.25" hidden="1" customHeight="1">
      <c r="A241" s="224">
        <v>120</v>
      </c>
      <c r="B241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307" t="s">
        <v>104</v>
      </c>
      <c r="D241" s="307" t="s">
        <v>444</v>
      </c>
      <c r="E241" s="308" t="s">
        <v>765</v>
      </c>
      <c r="F241" s="307" t="s">
        <v>766</v>
      </c>
      <c r="G241" s="307"/>
      <c r="H241" s="308" t="s">
        <v>203</v>
      </c>
      <c r="I241" s="308" t="s">
        <v>447</v>
      </c>
      <c r="J241" s="229"/>
      <c r="K241" s="226">
        <v>44488</v>
      </c>
      <c r="L241" s="226">
        <v>44488</v>
      </c>
      <c r="M241" s="226" t="str">
        <f>IFERROR(IF(VLOOKUP(功能_33[[#This Row],[功能代號]],討論項目!A:H,8,FALSE)=0,"",VLOOKUP(功能_33[[#This Row],[功能代號]],討論項目!A:H,8,FALSE)),"")</f>
        <v/>
      </c>
      <c r="N241" s="308" t="s">
        <v>10</v>
      </c>
      <c r="O241" s="308" t="s">
        <v>24</v>
      </c>
      <c r="T241" s="308"/>
      <c r="V241" s="308"/>
      <c r="W241" s="308"/>
      <c r="X241" s="307" t="str">
        <f>VLOOKUP(功能_33[[#This Row],[User]],SKL放款!A:G,7,FALSE)</f>
        <v>放款服務課</v>
      </c>
      <c r="Y241" s="228">
        <f>IF(功能_33[[#This Row],[實際展示]]="","",功能_33[[#This Row],[實際展示]]+14)</f>
        <v>44502</v>
      </c>
      <c r="Z241" s="226" t="s">
        <v>213</v>
      </c>
      <c r="AA241" s="226">
        <v>44524</v>
      </c>
      <c r="AB241" s="226"/>
      <c r="AC241" s="226"/>
      <c r="AD241" s="226"/>
      <c r="AE241" s="226"/>
      <c r="AF241" s="355"/>
      <c r="AG241" s="226" t="str">
        <f>IFERROR(IF(VLOOKUP(功能_33[[#This Row],[功能代號]],E:Q,11,FALSE)=0,"",VLOOKUP(功能_33[[#This Row],[功能代號]],E:Q,11,FALSE)),"")</f>
        <v>邵淑微</v>
      </c>
      <c r="AH241" s="226"/>
      <c r="AI241" s="226"/>
      <c r="AJ241" s="307"/>
      <c r="AK241" s="226"/>
      <c r="AN241" s="307" t="str">
        <f>VLOOKUP(功能_33[[#This Row],[功能代號]],工作表2!B:B,1,FALSE)</f>
        <v>L4606</v>
      </c>
    </row>
    <row r="242" spans="1:40" ht="14.25" hidden="1" customHeight="1">
      <c r="A242" s="224">
        <v>120</v>
      </c>
      <c r="B2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2" s="307" t="s">
        <v>104</v>
      </c>
      <c r="D242" s="307" t="s">
        <v>444</v>
      </c>
      <c r="E242" s="308" t="s">
        <v>2793</v>
      </c>
      <c r="F242" s="307" t="s">
        <v>2794</v>
      </c>
      <c r="G242" s="307" t="s">
        <v>2795</v>
      </c>
      <c r="H242" s="308" t="s">
        <v>203</v>
      </c>
      <c r="I242" s="308" t="s">
        <v>447</v>
      </c>
      <c r="J242" s="229"/>
      <c r="K242" s="226">
        <v>44488</v>
      </c>
      <c r="L242" s="226">
        <v>44488</v>
      </c>
      <c r="M242" s="226" t="str">
        <f>IFERROR(IF(VLOOKUP(功能_33[[#This Row],[功能代號]],討論項目!A:H,8,FALSE)=0,"",VLOOKUP(功能_33[[#This Row],[功能代號]],討論項目!A:H,8,FALSE)),"")</f>
        <v/>
      </c>
      <c r="N242" s="308" t="s">
        <v>10</v>
      </c>
      <c r="O242" s="308" t="s">
        <v>24</v>
      </c>
      <c r="T242" s="308"/>
      <c r="V242" s="308"/>
      <c r="W242" s="308"/>
      <c r="X242" s="307" t="str">
        <f>VLOOKUP(功能_33[[#This Row],[User]],SKL放款!A:G,7,FALSE)</f>
        <v>放款服務課</v>
      </c>
      <c r="Y242" s="228">
        <f>IF(功能_33[[#This Row],[實際展示]]="","",功能_33[[#This Row],[實際展示]]+14)</f>
        <v>44502</v>
      </c>
      <c r="Z242" s="226" t="s">
        <v>213</v>
      </c>
      <c r="AA242" s="226">
        <v>44524</v>
      </c>
      <c r="AB242" s="226"/>
      <c r="AC242" s="226"/>
      <c r="AD242" s="226"/>
      <c r="AE242" s="226"/>
      <c r="AF242" s="355"/>
      <c r="AG242" s="226" t="str">
        <f>IFERROR(IF(VLOOKUP(功能_33[[#This Row],[功能代號]],E:Q,11,FALSE)=0,"",VLOOKUP(功能_33[[#This Row],[功能代號]],E:Q,11,FALSE)),"")</f>
        <v>邵淑微</v>
      </c>
      <c r="AH242" s="226"/>
      <c r="AI242" s="226"/>
      <c r="AJ242" s="307"/>
      <c r="AK242" s="226"/>
      <c r="AN242" s="307" t="e">
        <f>VLOOKUP(功能_33[[#This Row],[功能代號]],工作表2!B:B,1,FALSE)</f>
        <v>#N/A</v>
      </c>
    </row>
    <row r="243" spans="1:40" ht="14.25" hidden="1" customHeight="1">
      <c r="A243" s="224">
        <v>359</v>
      </c>
      <c r="B243" s="307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3" s="307" t="s">
        <v>106</v>
      </c>
      <c r="D243" s="307"/>
      <c r="E243" s="308" t="s">
        <v>767</v>
      </c>
      <c r="F243" s="307" t="s">
        <v>768</v>
      </c>
      <c r="G243" s="307"/>
      <c r="H243" s="308" t="s">
        <v>203</v>
      </c>
      <c r="I243" s="308" t="s">
        <v>204</v>
      </c>
      <c r="J243" s="229"/>
      <c r="K243" s="226">
        <v>44488</v>
      </c>
      <c r="L243" s="226">
        <v>44491</v>
      </c>
      <c r="M243" s="226" t="str">
        <f>IFERROR(IF(VLOOKUP(功能_33[[#This Row],[功能代號]],討論項目!A:H,8,FALSE)=0,"",VLOOKUP(功能_33[[#This Row],[功能代號]],討論項目!A:H,8,FALSE)),"")</f>
        <v/>
      </c>
      <c r="N243" s="308" t="s">
        <v>7</v>
      </c>
      <c r="O243" s="308" t="s">
        <v>24</v>
      </c>
      <c r="P243" s="277" t="s">
        <v>14</v>
      </c>
      <c r="T243" s="308"/>
      <c r="V243" s="308"/>
      <c r="W243" s="308"/>
      <c r="X243" s="307" t="str">
        <f>VLOOKUP(功能_33[[#This Row],[User]],SKL放款!A:G,7,FALSE)</f>
        <v>放款服務課</v>
      </c>
      <c r="Y243" s="228">
        <f>IF(功能_33[[#This Row],[實際展示]]="","",功能_33[[#This Row],[實際展示]]+14)</f>
        <v>44505</v>
      </c>
      <c r="Z243" s="226" t="s">
        <v>2809</v>
      </c>
      <c r="AA243" s="226" t="e">
        <f>IF(功能_33[[#This Row],[URS交二審]]=0,"",功能_33[[#This Row],[URS交二審]]+7)</f>
        <v>#VALUE!</v>
      </c>
      <c r="AB243" s="226"/>
      <c r="AC243" s="226"/>
      <c r="AD243" s="226"/>
      <c r="AE243" s="226"/>
      <c r="AF243" s="355"/>
      <c r="AG243" s="226" t="str">
        <f>IFERROR(IF(VLOOKUP(功能_33[[#This Row],[功能代號]],E:Q,11,FALSE)=0,"",VLOOKUP(功能_33[[#This Row],[功能代號]],E:Q,11,FALSE)),"")</f>
        <v>邵淑微</v>
      </c>
      <c r="AH243" s="226"/>
      <c r="AI243" s="226"/>
      <c r="AJ243" s="307"/>
      <c r="AK243" s="226"/>
      <c r="AN243" s="307" t="e">
        <f>VLOOKUP(功能_33[[#This Row],[功能代號]],工作表2!B:B,1,FALSE)</f>
        <v>#N/A</v>
      </c>
    </row>
    <row r="244" spans="1:40" ht="14.25" hidden="1" customHeight="1">
      <c r="A244" s="224">
        <v>360</v>
      </c>
      <c r="B244" s="307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4" s="307" t="s">
        <v>106</v>
      </c>
      <c r="D244" s="307"/>
      <c r="E244" s="308" t="s">
        <v>769</v>
      </c>
      <c r="F244" s="307" t="s">
        <v>770</v>
      </c>
      <c r="G244" s="307"/>
      <c r="H244" s="308" t="s">
        <v>203</v>
      </c>
      <c r="I244" s="308" t="s">
        <v>204</v>
      </c>
      <c r="J244" s="229"/>
      <c r="K244" s="226">
        <v>44488</v>
      </c>
      <c r="L244" s="226">
        <v>44488</v>
      </c>
      <c r="M244" s="226" t="str">
        <f>IFERROR(IF(VLOOKUP(功能_33[[#This Row],[功能代號]],討論項目!A:H,8,FALSE)=0,"",VLOOKUP(功能_33[[#This Row],[功能代號]],討論項目!A:H,8,FALSE)),"")</f>
        <v/>
      </c>
      <c r="N244" s="308" t="s">
        <v>7</v>
      </c>
      <c r="O244" s="308" t="s">
        <v>24</v>
      </c>
      <c r="P244" s="277" t="s">
        <v>14</v>
      </c>
      <c r="T244" s="308"/>
      <c r="V244" s="308"/>
      <c r="W244" s="308"/>
      <c r="X244" s="307" t="str">
        <f>VLOOKUP(功能_33[[#This Row],[User]],SKL放款!A:G,7,FALSE)</f>
        <v>放款服務課</v>
      </c>
      <c r="Y244" s="228">
        <f>IF(功能_33[[#This Row],[實際展示]]="","",功能_33[[#This Row],[實際展示]]+14)</f>
        <v>44502</v>
      </c>
      <c r="Z244" s="226" t="s">
        <v>2809</v>
      </c>
      <c r="AA244" s="226" t="e">
        <f>IF(功能_33[[#This Row],[URS交二審]]=0,"",功能_33[[#This Row],[URS交二審]]+7)</f>
        <v>#VALUE!</v>
      </c>
      <c r="AB244" s="226"/>
      <c r="AC244" s="226"/>
      <c r="AD244" s="226"/>
      <c r="AE244" s="226"/>
      <c r="AF244" s="355"/>
      <c r="AG244" s="226" t="str">
        <f>IFERROR(IF(VLOOKUP(功能_33[[#This Row],[功能代號]],E:Q,11,FALSE)=0,"",VLOOKUP(功能_33[[#This Row],[功能代號]],E:Q,11,FALSE)),"")</f>
        <v>邵淑微</v>
      </c>
      <c r="AH244" s="226"/>
      <c r="AI244" s="226"/>
      <c r="AJ244" s="307"/>
      <c r="AK244" s="228" t="s">
        <v>771</v>
      </c>
      <c r="AN244" s="307" t="e">
        <f>VLOOKUP(功能_33[[#This Row],[功能代號]],工作表2!B:B,1,FALSE)</f>
        <v>#N/A</v>
      </c>
    </row>
    <row r="245" spans="1:40" ht="14.25" hidden="1" customHeight="1">
      <c r="A245" s="224">
        <v>198</v>
      </c>
      <c r="B245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5" s="307" t="s">
        <v>103</v>
      </c>
      <c r="D245" s="307"/>
      <c r="E245" s="308" t="s">
        <v>772</v>
      </c>
      <c r="F245" s="307" t="s">
        <v>773</v>
      </c>
      <c r="G245" s="307"/>
      <c r="H245" s="308" t="s">
        <v>203</v>
      </c>
      <c r="I245" s="308" t="s">
        <v>204</v>
      </c>
      <c r="J245" s="229"/>
      <c r="K245" s="226">
        <v>44487</v>
      </c>
      <c r="L245" s="226">
        <v>44487</v>
      </c>
      <c r="M245" s="226" t="str">
        <f>IFERROR(IF(VLOOKUP(功能_33[[#This Row],[功能代號]],討論項目!A:H,8,FALSE)=0,"",VLOOKUP(功能_33[[#This Row],[功能代號]],討論項目!A:H,8,FALSE)),"")</f>
        <v/>
      </c>
      <c r="N245" s="308" t="s">
        <v>7</v>
      </c>
      <c r="O245" s="308" t="s">
        <v>24</v>
      </c>
      <c r="P245" s="277" t="s">
        <v>14</v>
      </c>
      <c r="T245" s="308"/>
      <c r="V245" s="308"/>
      <c r="W245" s="308"/>
      <c r="X245" s="307" t="str">
        <f>VLOOKUP(功能_33[[#This Row],[User]],SKL放款!A:G,7,FALSE)</f>
        <v>放款服務課</v>
      </c>
      <c r="Y245" s="228">
        <f>IF(功能_33[[#This Row],[實際展示]]="","",功能_33[[#This Row],[實際展示]]+14)</f>
        <v>44501</v>
      </c>
      <c r="Z245" s="226" t="s">
        <v>2809</v>
      </c>
      <c r="AA245" s="226">
        <v>44496</v>
      </c>
      <c r="AB245" s="226">
        <v>44496</v>
      </c>
      <c r="AC245" s="226">
        <v>44512</v>
      </c>
      <c r="AD245" s="226" t="s">
        <v>198</v>
      </c>
      <c r="AE245" s="226"/>
      <c r="AF245" s="355"/>
      <c r="AG245" s="226" t="str">
        <f>IFERROR(IF(VLOOKUP(功能_33[[#This Row],[功能代號]],E:Q,11,FALSE)=0,"",VLOOKUP(功能_33[[#This Row],[功能代號]],E:Q,11,FALSE)),"")</f>
        <v>邵淑微</v>
      </c>
      <c r="AH245" s="226"/>
      <c r="AI245" s="226"/>
      <c r="AJ245" s="307"/>
      <c r="AK245" s="226"/>
      <c r="AL245" s="308">
        <v>366</v>
      </c>
      <c r="AM245" s="307" t="s">
        <v>774</v>
      </c>
      <c r="AN245" s="307" t="e">
        <f>VLOOKUP(功能_33[[#This Row],[功能代號]],工作表2!B:B,1,FALSE)</f>
        <v>#N/A</v>
      </c>
    </row>
    <row r="246" spans="1:40" ht="14.25" hidden="1" customHeight="1">
      <c r="A246" s="224"/>
      <c r="B2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6" s="307" t="s">
        <v>106</v>
      </c>
      <c r="D246" s="230"/>
      <c r="E246" s="308" t="s">
        <v>775</v>
      </c>
      <c r="F246" s="307" t="s">
        <v>776</v>
      </c>
      <c r="G246" s="307" t="s">
        <v>678</v>
      </c>
      <c r="H246" s="308" t="s">
        <v>203</v>
      </c>
      <c r="I246" s="308" t="s">
        <v>204</v>
      </c>
      <c r="J246" s="229"/>
      <c r="K246" s="226">
        <v>44488</v>
      </c>
      <c r="L246" s="226">
        <v>44488</v>
      </c>
      <c r="M246" s="226" t="str">
        <f>IFERROR(IF(VLOOKUP(功能_33[[#This Row],[功能代號]],討論項目!A:H,8,FALSE)=0,"",VLOOKUP(功能_33[[#This Row],[功能代號]],討論項目!A:H,8,FALSE)),"")</f>
        <v/>
      </c>
      <c r="N246" s="308" t="s">
        <v>7</v>
      </c>
      <c r="O246" s="308" t="s">
        <v>24</v>
      </c>
      <c r="T246" s="308"/>
      <c r="V246" s="308"/>
      <c r="W246" s="308"/>
      <c r="X246" s="307" t="str">
        <f>VLOOKUP(功能_33[[#This Row],[User]],SKL放款!A:G,7,FALSE)</f>
        <v>放款服務課</v>
      </c>
      <c r="Y246" s="228">
        <f>IF(功能_33[[#This Row],[實際展示]]="","",功能_33[[#This Row],[實際展示]]+14)</f>
        <v>44502</v>
      </c>
      <c r="Z246" s="226" t="s">
        <v>2808</v>
      </c>
      <c r="AA246" s="226"/>
      <c r="AB246" s="226"/>
      <c r="AC246" s="226"/>
      <c r="AD246" s="226"/>
      <c r="AE246" s="226"/>
      <c r="AF246" s="226"/>
      <c r="AG246" s="226" t="str">
        <f>IFERROR(IF(VLOOKUP(功能_33[[#This Row],[功能代號]],E:Q,11,FALSE)=0,"",VLOOKUP(功能_33[[#This Row],[功能代號]],E:Q,11,FALSE)),"")</f>
        <v>邵淑微</v>
      </c>
      <c r="AH246" s="226"/>
      <c r="AI246" s="226"/>
      <c r="AJ246" s="307"/>
      <c r="AN246" s="307" t="str">
        <f>VLOOKUP(功能_33[[#This Row],[功能代號]],工作表2!B:B,1,FALSE)</f>
        <v>L6985</v>
      </c>
    </row>
    <row r="247" spans="1:40" ht="14.25" hidden="1" customHeight="1">
      <c r="A247" s="224">
        <v>168</v>
      </c>
      <c r="B247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7" s="307" t="s">
        <v>102</v>
      </c>
      <c r="D247" s="307"/>
      <c r="E247" s="308" t="s">
        <v>777</v>
      </c>
      <c r="F247" s="307" t="s">
        <v>778</v>
      </c>
      <c r="G247" s="307"/>
      <c r="H247" s="308" t="s">
        <v>203</v>
      </c>
      <c r="I247" s="308" t="s">
        <v>239</v>
      </c>
      <c r="J247" s="229"/>
      <c r="K247" s="226">
        <v>44487</v>
      </c>
      <c r="L247" s="226">
        <v>44488</v>
      </c>
      <c r="M247" s="226" t="str">
        <f>IFERROR(IF(VLOOKUP(功能_33[[#This Row],[功能代號]],討論項目!A:H,8,FALSE)=0,"",VLOOKUP(功能_33[[#This Row],[功能代號]],討論項目!A:H,8,FALSE)),"")</f>
        <v/>
      </c>
      <c r="N247" s="308" t="s">
        <v>12</v>
      </c>
      <c r="O247" s="308" t="s">
        <v>180</v>
      </c>
      <c r="P247" s="277" t="s">
        <v>18</v>
      </c>
      <c r="T247" s="308"/>
      <c r="V247" s="308"/>
      <c r="W247" s="308"/>
      <c r="X247" s="307" t="str">
        <f>VLOOKUP(功能_33[[#This Row],[User]],SKL放款!A:G,7,FALSE)</f>
        <v>放款服務課</v>
      </c>
      <c r="Y247" s="228">
        <f>IF(功能_33[[#This Row],[實際展示]]="","",功能_33[[#This Row],[實際展示]]+14)</f>
        <v>44502</v>
      </c>
      <c r="Z247" s="226" t="s">
        <v>205</v>
      </c>
      <c r="AA247" s="226">
        <v>44477</v>
      </c>
      <c r="AB247" s="226">
        <v>44477</v>
      </c>
      <c r="AC247" s="226"/>
      <c r="AD247" s="226" t="s">
        <v>198</v>
      </c>
      <c r="AE247" s="226"/>
      <c r="AF247" s="355"/>
      <c r="AG247" s="226" t="str">
        <f>IFERROR(IF(VLOOKUP(功能_33[[#This Row],[功能代號]],E:Q,11,FALSE)=0,"",VLOOKUP(功能_33[[#This Row],[功能代號]],E:Q,11,FALSE)),"")</f>
        <v>陳政皓</v>
      </c>
      <c r="AH247" s="226"/>
      <c r="AI247" s="226"/>
      <c r="AJ247" s="307"/>
      <c r="AK247" s="228" t="s">
        <v>771</v>
      </c>
      <c r="AL247" s="308">
        <v>226</v>
      </c>
      <c r="AM247" s="307" t="s">
        <v>779</v>
      </c>
      <c r="AN247" s="307" t="e">
        <f>VLOOKUP(功能_33[[#This Row],[功能代號]],工作表2!B:B,1,FALSE)</f>
        <v>#N/A</v>
      </c>
    </row>
    <row r="248" spans="1:40" ht="14.25" hidden="1" customHeight="1">
      <c r="A248" s="224">
        <v>361</v>
      </c>
      <c r="B2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307" t="s">
        <v>106</v>
      </c>
      <c r="D248" s="307"/>
      <c r="E248" s="308" t="s">
        <v>780</v>
      </c>
      <c r="F248" s="307" t="s">
        <v>781</v>
      </c>
      <c r="G248" s="307"/>
      <c r="H248" s="308" t="s">
        <v>203</v>
      </c>
      <c r="I248" s="308" t="s">
        <v>204</v>
      </c>
      <c r="J248" s="229"/>
      <c r="K248" s="226">
        <v>44488</v>
      </c>
      <c r="L248" s="226">
        <v>44488</v>
      </c>
      <c r="M248" s="226" t="str">
        <f>IFERROR(IF(VLOOKUP(功能_33[[#This Row],[功能代號]],討論項目!A:H,8,FALSE)=0,"",VLOOKUP(功能_33[[#This Row],[功能代號]],討論項目!A:H,8,FALSE)),"")</f>
        <v/>
      </c>
      <c r="N248" s="308" t="s">
        <v>7</v>
      </c>
      <c r="O248" s="308" t="s">
        <v>24</v>
      </c>
      <c r="P248" s="277" t="s">
        <v>14</v>
      </c>
      <c r="T248" s="308"/>
      <c r="V248" s="308"/>
      <c r="W248" s="308"/>
      <c r="X248" s="307" t="str">
        <f>VLOOKUP(功能_33[[#This Row],[User]],SKL放款!A:G,7,FALSE)</f>
        <v>放款服務課</v>
      </c>
      <c r="Y248" s="228">
        <f>IF(功能_33[[#This Row],[實際展示]]="","",功能_33[[#This Row],[實際展示]]+14)</f>
        <v>44502</v>
      </c>
      <c r="Z248" s="226" t="s">
        <v>2809</v>
      </c>
      <c r="AA248" s="226" t="e">
        <f>IF(功能_33[[#This Row],[URS交二審]]=0,"",功能_33[[#This Row],[URS交二審]]+7)</f>
        <v>#VALUE!</v>
      </c>
      <c r="AB248" s="226"/>
      <c r="AC248" s="226"/>
      <c r="AD248" s="226"/>
      <c r="AE248" s="226"/>
      <c r="AF248" s="355"/>
      <c r="AG248" s="226" t="str">
        <f>IFERROR(IF(VLOOKUP(功能_33[[#This Row],[功能代號]],E:Q,11,FALSE)=0,"",VLOOKUP(功能_33[[#This Row],[功能代號]],E:Q,11,FALSE)),"")</f>
        <v>邵淑微</v>
      </c>
      <c r="AH248" s="226"/>
      <c r="AI248" s="226"/>
      <c r="AJ248" s="307"/>
      <c r="AK248" s="228" t="s">
        <v>771</v>
      </c>
      <c r="AN248" s="307" t="e">
        <f>VLOOKUP(功能_33[[#This Row],[功能代號]],工作表2!B:B,1,FALSE)</f>
        <v>#N/A</v>
      </c>
    </row>
    <row r="249" spans="1:40" ht="14.25" customHeight="1">
      <c r="A249" s="224">
        <v>299</v>
      </c>
      <c r="B249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307" t="s">
        <v>106</v>
      </c>
      <c r="D249" s="307"/>
      <c r="E249" s="308" t="s">
        <v>782</v>
      </c>
      <c r="F249" s="307" t="s">
        <v>783</v>
      </c>
      <c r="G249" s="307"/>
      <c r="H249" s="308" t="s">
        <v>203</v>
      </c>
      <c r="I249" s="308" t="s">
        <v>330</v>
      </c>
      <c r="J249" s="229" t="s">
        <v>2843</v>
      </c>
      <c r="K249" s="226">
        <v>44487</v>
      </c>
      <c r="L249" s="226">
        <v>44487</v>
      </c>
      <c r="M249" s="226" t="str">
        <f>IFERROR(IF(VLOOKUP(功能_33[[#This Row],[功能代號]],討論項目!A:H,8,FALSE)=0,"",VLOOKUP(功能_33[[#This Row],[功能代號]],討論項目!A:H,8,FALSE)),"")</f>
        <v/>
      </c>
      <c r="N249" s="308" t="s">
        <v>12</v>
      </c>
      <c r="O249" s="308" t="s">
        <v>180</v>
      </c>
      <c r="T249" s="308"/>
      <c r="V249" s="308"/>
      <c r="W249" s="308"/>
      <c r="X249" s="307" t="str">
        <f>VLOOKUP(功能_33[[#This Row],[User]],SKL放款!A:G,7,FALSE)</f>
        <v>放款服務課</v>
      </c>
      <c r="Y249" s="228">
        <f>IF(功能_33[[#This Row],[實際展示]]="","",功能_33[[#This Row],[實際展示]]+14)</f>
        <v>44501</v>
      </c>
      <c r="Z249" s="226" t="s">
        <v>2809</v>
      </c>
      <c r="AA249" s="226" t="e">
        <f>IF(功能_33[[#This Row],[URS交二審]]=0,"",功能_33[[#This Row],[URS交二審]]+7)</f>
        <v>#VALUE!</v>
      </c>
      <c r="AB249" s="226"/>
      <c r="AC249" s="226"/>
      <c r="AD249" s="226"/>
      <c r="AE249" s="226"/>
      <c r="AF249" s="355"/>
      <c r="AG249" s="226" t="str">
        <f>IFERROR(IF(VLOOKUP(功能_33[[#This Row],[功能代號]],E:Q,11,FALSE)=0,"",VLOOKUP(功能_33[[#This Row],[功能代號]],E:Q,11,FALSE)),"")</f>
        <v>陳政皓</v>
      </c>
      <c r="AH249" s="226"/>
      <c r="AI249" s="226"/>
      <c r="AJ249" s="307"/>
      <c r="AK249" s="226"/>
      <c r="AL249" s="410" t="s">
        <v>784</v>
      </c>
      <c r="AM249" s="411" t="s">
        <v>785</v>
      </c>
      <c r="AN249" s="307" t="e">
        <f>VLOOKUP(功能_33[[#This Row],[功能代號]],工作表2!B:B,1,FALSE)</f>
        <v>#N/A</v>
      </c>
    </row>
    <row r="250" spans="1:40" ht="14.25" customHeight="1">
      <c r="A250" s="224">
        <v>300</v>
      </c>
      <c r="B250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07" t="s">
        <v>106</v>
      </c>
      <c r="D250" s="307"/>
      <c r="E250" s="308" t="s">
        <v>786</v>
      </c>
      <c r="F250" s="307" t="s">
        <v>787</v>
      </c>
      <c r="G250" s="307"/>
      <c r="H250" s="308" t="s">
        <v>203</v>
      </c>
      <c r="I250" s="308" t="s">
        <v>330</v>
      </c>
      <c r="J250" s="229" t="s">
        <v>2843</v>
      </c>
      <c r="K250" s="226">
        <v>44487</v>
      </c>
      <c r="L250" s="226">
        <v>44487</v>
      </c>
      <c r="M250" s="226" t="str">
        <f>IFERROR(IF(VLOOKUP(功能_33[[#This Row],[功能代號]],討論項目!A:H,8,FALSE)=0,"",VLOOKUP(功能_33[[#This Row],[功能代號]],討論項目!A:H,8,FALSE)),"")</f>
        <v/>
      </c>
      <c r="N250" s="308" t="s">
        <v>12</v>
      </c>
      <c r="O250" s="308" t="s">
        <v>11</v>
      </c>
      <c r="T250" s="308"/>
      <c r="V250" s="308"/>
      <c r="W250" s="308"/>
      <c r="X250" s="307" t="str">
        <f>VLOOKUP(功能_33[[#This Row],[User]],SKL放款!A:G,7,FALSE)</f>
        <v>放款服務課</v>
      </c>
      <c r="Y250" s="228">
        <f>IF(功能_33[[#This Row],[實際展示]]="","",功能_33[[#This Row],[實際展示]]+14)</f>
        <v>44501</v>
      </c>
      <c r="Z250" s="226" t="s">
        <v>2809</v>
      </c>
      <c r="AA250" s="226" t="e">
        <f>IF(功能_33[[#This Row],[URS交二審]]=0,"",功能_33[[#This Row],[URS交二審]]+7)</f>
        <v>#VALUE!</v>
      </c>
      <c r="AB250" s="226"/>
      <c r="AC250" s="226"/>
      <c r="AD250" s="226"/>
      <c r="AE250" s="226"/>
      <c r="AF250" s="355"/>
      <c r="AG250" s="226" t="str">
        <f>IFERROR(IF(VLOOKUP(功能_33[[#This Row],[功能代號]],E:Q,11,FALSE)=0,"",VLOOKUP(功能_33[[#This Row],[功能代號]],E:Q,11,FALSE)),"")</f>
        <v>蔡珮瑜</v>
      </c>
      <c r="AH250" s="226"/>
      <c r="AI250" s="226"/>
      <c r="AJ250" s="307"/>
      <c r="AK250" s="226"/>
      <c r="AL250" s="308" t="s">
        <v>2848</v>
      </c>
      <c r="AN250" s="307" t="e">
        <f>VLOOKUP(功能_33[[#This Row],[功能代號]],工作表2!B:B,1,FALSE)</f>
        <v>#N/A</v>
      </c>
    </row>
    <row r="251" spans="1:40" ht="14.25" customHeight="1">
      <c r="A251" s="224">
        <v>301</v>
      </c>
      <c r="B251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07" t="s">
        <v>106</v>
      </c>
      <c r="D251" s="307"/>
      <c r="E251" s="308" t="s">
        <v>788</v>
      </c>
      <c r="F251" s="307" t="s">
        <v>789</v>
      </c>
      <c r="G251" s="307"/>
      <c r="H251" s="308" t="s">
        <v>203</v>
      </c>
      <c r="I251" s="308" t="s">
        <v>330</v>
      </c>
      <c r="J251" s="229" t="s">
        <v>2843</v>
      </c>
      <c r="K251" s="226">
        <v>44487</v>
      </c>
      <c r="L251" s="226">
        <v>44487</v>
      </c>
      <c r="M251" s="226" t="str">
        <f>IFERROR(IF(VLOOKUP(功能_33[[#This Row],[功能代號]],討論項目!A:H,8,FALSE)=0,"",VLOOKUP(功能_33[[#This Row],[功能代號]],討論項目!A:H,8,FALSE)),"")</f>
        <v/>
      </c>
      <c r="N251" s="308" t="s">
        <v>12</v>
      </c>
      <c r="O251" s="308" t="s">
        <v>11</v>
      </c>
      <c r="T251" s="308"/>
      <c r="V251" s="308"/>
      <c r="W251" s="308"/>
      <c r="X251" s="307" t="str">
        <f>VLOOKUP(功能_33[[#This Row],[User]],SKL放款!A:G,7,FALSE)</f>
        <v>放款服務課</v>
      </c>
      <c r="Y251" s="228">
        <f>IF(功能_33[[#This Row],[實際展示]]="","",功能_33[[#This Row],[實際展示]]+14)</f>
        <v>44501</v>
      </c>
      <c r="Z251" s="226" t="s">
        <v>2809</v>
      </c>
      <c r="AA251" s="226" t="e">
        <f>IF(功能_33[[#This Row],[URS交二審]]=0,"",功能_33[[#This Row],[URS交二審]]+7)</f>
        <v>#VALUE!</v>
      </c>
      <c r="AB251" s="226"/>
      <c r="AC251" s="226"/>
      <c r="AD251" s="226"/>
      <c r="AE251" s="226"/>
      <c r="AF251" s="355"/>
      <c r="AG251" s="226" t="str">
        <f>IFERROR(IF(VLOOKUP(功能_33[[#This Row],[功能代號]],E:Q,11,FALSE)=0,"",VLOOKUP(功能_33[[#This Row],[功能代號]],E:Q,11,FALSE)),"")</f>
        <v>蔡珮瑜</v>
      </c>
      <c r="AH251" s="226"/>
      <c r="AI251" s="226"/>
      <c r="AJ251" s="307"/>
      <c r="AK251" s="226"/>
      <c r="AL251" s="308" t="s">
        <v>2848</v>
      </c>
      <c r="AN251" s="307" t="e">
        <f>VLOOKUP(功能_33[[#This Row],[功能代號]],工作表2!B:B,1,FALSE)</f>
        <v>#N/A</v>
      </c>
    </row>
    <row r="252" spans="1:40" ht="14.25" customHeight="1">
      <c r="A252" s="224">
        <v>302</v>
      </c>
      <c r="B252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07" t="s">
        <v>106</v>
      </c>
      <c r="D252" s="307"/>
      <c r="E252" s="308" t="s">
        <v>790</v>
      </c>
      <c r="F252" s="307" t="s">
        <v>791</v>
      </c>
      <c r="G252" s="307"/>
      <c r="H252" s="308" t="s">
        <v>203</v>
      </c>
      <c r="I252" s="308" t="s">
        <v>330</v>
      </c>
      <c r="J252" s="229" t="s">
        <v>2843</v>
      </c>
      <c r="K252" s="226">
        <v>44487</v>
      </c>
      <c r="L252" s="226">
        <v>44487</v>
      </c>
      <c r="M252" s="226" t="str">
        <f>IFERROR(IF(VLOOKUP(功能_33[[#This Row],[功能代號]],討論項目!A:H,8,FALSE)=0,"",VLOOKUP(功能_33[[#This Row],[功能代號]],討論項目!A:H,8,FALSE)),"")</f>
        <v/>
      </c>
      <c r="N252" s="308" t="s">
        <v>12</v>
      </c>
      <c r="O252" s="308" t="s">
        <v>180</v>
      </c>
      <c r="T252" s="308"/>
      <c r="V252" s="308"/>
      <c r="W252" s="308"/>
      <c r="X252" s="307" t="str">
        <f>VLOOKUP(功能_33[[#This Row],[User]],SKL放款!A:G,7,FALSE)</f>
        <v>放款服務課</v>
      </c>
      <c r="Y252" s="228">
        <f>IF(功能_33[[#This Row],[實際展示]]="","",功能_33[[#This Row],[實際展示]]+14)</f>
        <v>44501</v>
      </c>
      <c r="Z252" s="226" t="s">
        <v>2809</v>
      </c>
      <c r="AA252" s="226" t="e">
        <f>IF(功能_33[[#This Row],[URS交二審]]=0,"",功能_33[[#This Row],[URS交二審]]+7)</f>
        <v>#VALUE!</v>
      </c>
      <c r="AB252" s="226"/>
      <c r="AC252" s="226"/>
      <c r="AD252" s="226"/>
      <c r="AE252" s="226"/>
      <c r="AF252" s="355"/>
      <c r="AG252" s="226" t="str">
        <f>IFERROR(IF(VLOOKUP(功能_33[[#This Row],[功能代號]],E:Q,11,FALSE)=0,"",VLOOKUP(功能_33[[#This Row],[功能代號]],E:Q,11,FALSE)),"")</f>
        <v>陳政皓</v>
      </c>
      <c r="AH252" s="226"/>
      <c r="AI252" s="226"/>
      <c r="AJ252" s="307"/>
      <c r="AK252" s="226"/>
      <c r="AL252" s="308" t="s">
        <v>2848</v>
      </c>
      <c r="AN252" s="307" t="e">
        <f>VLOOKUP(功能_33[[#This Row],[功能代號]],工作表2!B:B,1,FALSE)</f>
        <v>#N/A</v>
      </c>
    </row>
    <row r="253" spans="1:40" ht="14.25" customHeight="1">
      <c r="A253" s="224">
        <v>303</v>
      </c>
      <c r="B253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07" t="s">
        <v>106</v>
      </c>
      <c r="D253" s="307"/>
      <c r="E253" s="308" t="s">
        <v>792</v>
      </c>
      <c r="F253" s="307" t="s">
        <v>793</v>
      </c>
      <c r="G253" s="307"/>
      <c r="H253" s="308" t="s">
        <v>203</v>
      </c>
      <c r="I253" s="308" t="s">
        <v>330</v>
      </c>
      <c r="J253" s="229" t="s">
        <v>2843</v>
      </c>
      <c r="K253" s="226">
        <v>44487</v>
      </c>
      <c r="L253" s="226">
        <v>44487</v>
      </c>
      <c r="M253" s="226" t="str">
        <f>IFERROR(IF(VLOOKUP(功能_33[[#This Row],[功能代號]],討論項目!A:H,8,FALSE)=0,"",VLOOKUP(功能_33[[#This Row],[功能代號]],討論項目!A:H,8,FALSE)),"")</f>
        <v/>
      </c>
      <c r="N253" s="308" t="s">
        <v>12</v>
      </c>
      <c r="O253" s="308" t="s">
        <v>11</v>
      </c>
      <c r="T253" s="308"/>
      <c r="V253" s="308"/>
      <c r="W253" s="308"/>
      <c r="X253" s="307" t="str">
        <f>VLOOKUP(功能_33[[#This Row],[User]],SKL放款!A:G,7,FALSE)</f>
        <v>放款服務課</v>
      </c>
      <c r="Y253" s="228">
        <f>IF(功能_33[[#This Row],[實際展示]]="","",功能_33[[#This Row],[實際展示]]+14)</f>
        <v>44501</v>
      </c>
      <c r="Z253" s="226" t="s">
        <v>2809</v>
      </c>
      <c r="AA253" s="226" t="e">
        <f>IF(功能_33[[#This Row],[URS交二審]]=0,"",功能_33[[#This Row],[URS交二審]]+7)</f>
        <v>#VALUE!</v>
      </c>
      <c r="AB253" s="226"/>
      <c r="AC253" s="226"/>
      <c r="AD253" s="226"/>
      <c r="AE253" s="226"/>
      <c r="AF253" s="355"/>
      <c r="AG253" s="226" t="str">
        <f>IFERROR(IF(VLOOKUP(功能_33[[#This Row],[功能代號]],E:Q,11,FALSE)=0,"",VLOOKUP(功能_33[[#This Row],[功能代號]],E:Q,11,FALSE)),"")</f>
        <v>蔡珮瑜</v>
      </c>
      <c r="AH253" s="226"/>
      <c r="AI253" s="226"/>
      <c r="AJ253" s="307"/>
      <c r="AK253" s="226"/>
      <c r="AL253" s="308" t="s">
        <v>2848</v>
      </c>
      <c r="AN253" s="307" t="e">
        <f>VLOOKUP(功能_33[[#This Row],[功能代號]],工作表2!B:B,1,FALSE)</f>
        <v>#N/A</v>
      </c>
    </row>
    <row r="254" spans="1:40" ht="14.25" customHeight="1">
      <c r="A254" s="224">
        <v>304</v>
      </c>
      <c r="B254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307" t="s">
        <v>106</v>
      </c>
      <c r="D254" s="307"/>
      <c r="E254" s="308" t="s">
        <v>794</v>
      </c>
      <c r="F254" s="307" t="s">
        <v>795</v>
      </c>
      <c r="G254" s="307"/>
      <c r="H254" s="308" t="s">
        <v>203</v>
      </c>
      <c r="I254" s="308" t="s">
        <v>330</v>
      </c>
      <c r="J254" s="229" t="s">
        <v>2843</v>
      </c>
      <c r="K254" s="226">
        <v>44487</v>
      </c>
      <c r="L254" s="226">
        <v>44487</v>
      </c>
      <c r="M254" s="226">
        <f>IFERROR(IF(VLOOKUP(功能_33[[#This Row],[功能代號]],討論項目!A:H,8,FALSE)=0,"",VLOOKUP(功能_33[[#This Row],[功能代號]],討論項目!A:H,8,FALSE)),"")</f>
        <v>44477</v>
      </c>
      <c r="N254" s="308" t="s">
        <v>12</v>
      </c>
      <c r="O254" s="308" t="s">
        <v>11</v>
      </c>
      <c r="T254" s="308"/>
      <c r="V254" s="308"/>
      <c r="W254" s="308"/>
      <c r="X254" s="307" t="str">
        <f>VLOOKUP(功能_33[[#This Row],[User]],SKL放款!A:G,7,FALSE)</f>
        <v>放款服務課</v>
      </c>
      <c r="Y254" s="228">
        <f>IF(功能_33[[#This Row],[實際展示]]="","",功能_33[[#This Row],[實際展示]]+14)</f>
        <v>44501</v>
      </c>
      <c r="Z254" s="226" t="s">
        <v>2808</v>
      </c>
      <c r="AA254" s="226"/>
      <c r="AB254" s="226"/>
      <c r="AC254" s="226"/>
      <c r="AD254" s="226"/>
      <c r="AE254" s="226"/>
      <c r="AF254" s="355"/>
      <c r="AG254" s="226" t="str">
        <f>IFERROR(IF(VLOOKUP(功能_33[[#This Row],[功能代號]],E:Q,11,FALSE)=0,"",VLOOKUP(功能_33[[#This Row],[功能代號]],E:Q,11,FALSE)),"")</f>
        <v>蔡珮瑜</v>
      </c>
      <c r="AH254" s="226"/>
      <c r="AI254" s="226"/>
      <c r="AJ254" s="307"/>
      <c r="AK254" s="228" t="s">
        <v>796</v>
      </c>
      <c r="AL254" s="308" t="s">
        <v>2848</v>
      </c>
      <c r="AN254" s="307" t="str">
        <f>VLOOKUP(功能_33[[#This Row],[功能代號]],工作表2!B:B,1,FALSE)</f>
        <v>L6905</v>
      </c>
    </row>
    <row r="255" spans="1:40" ht="14.25" customHeight="1">
      <c r="A255" s="224">
        <v>305</v>
      </c>
      <c r="B255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307" t="s">
        <v>106</v>
      </c>
      <c r="D255" s="307"/>
      <c r="E255" s="308" t="s">
        <v>797</v>
      </c>
      <c r="F255" s="307" t="s">
        <v>798</v>
      </c>
      <c r="G255" s="307"/>
      <c r="H255" s="308" t="s">
        <v>203</v>
      </c>
      <c r="I255" s="308" t="s">
        <v>330</v>
      </c>
      <c r="J255" s="229" t="s">
        <v>2843</v>
      </c>
      <c r="K255" s="226">
        <v>44487</v>
      </c>
      <c r="L255" s="226">
        <v>44487</v>
      </c>
      <c r="M255" s="226" t="str">
        <f>IFERROR(IF(VLOOKUP(功能_33[[#This Row],[功能代號]],討論項目!A:H,8,FALSE)=0,"",VLOOKUP(功能_33[[#This Row],[功能代號]],討論項目!A:H,8,FALSE)),"")</f>
        <v/>
      </c>
      <c r="N255" s="308" t="s">
        <v>12</v>
      </c>
      <c r="O255" s="308" t="s">
        <v>180</v>
      </c>
      <c r="T255" s="308"/>
      <c r="V255" s="308"/>
      <c r="W255" s="308"/>
      <c r="X255" s="307" t="str">
        <f>VLOOKUP(功能_33[[#This Row],[User]],SKL放款!A:G,7,FALSE)</f>
        <v>放款服務課</v>
      </c>
      <c r="Y255" s="228">
        <f>IF(功能_33[[#This Row],[實際展示]]="","",功能_33[[#This Row],[實際展示]]+14)</f>
        <v>44501</v>
      </c>
      <c r="Z255" s="226" t="s">
        <v>2809</v>
      </c>
      <c r="AA255" s="226" t="e">
        <f>IF(功能_33[[#This Row],[URS交二審]]=0,"",功能_33[[#This Row],[URS交二審]]+7)</f>
        <v>#VALUE!</v>
      </c>
      <c r="AB255" s="226"/>
      <c r="AC255" s="226"/>
      <c r="AD255" s="226"/>
      <c r="AE255" s="226"/>
      <c r="AF255" s="355"/>
      <c r="AG255" s="226" t="str">
        <f>IFERROR(IF(VLOOKUP(功能_33[[#This Row],[功能代號]],E:Q,11,FALSE)=0,"",VLOOKUP(功能_33[[#This Row],[功能代號]],E:Q,11,FALSE)),"")</f>
        <v>陳政皓</v>
      </c>
      <c r="AH255" s="226"/>
      <c r="AI255" s="226"/>
      <c r="AJ255" s="307"/>
      <c r="AK255" s="226"/>
      <c r="AL255" s="308" t="s">
        <v>2848</v>
      </c>
      <c r="AN255" s="307" t="e">
        <f>VLOOKUP(功能_33[[#This Row],[功能代號]],工作表2!B:B,1,FALSE)</f>
        <v>#N/A</v>
      </c>
    </row>
    <row r="256" spans="1:40" ht="14.25" customHeight="1">
      <c r="A256" s="224">
        <v>306</v>
      </c>
      <c r="B256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307" t="s">
        <v>106</v>
      </c>
      <c r="D256" s="307"/>
      <c r="E256" s="308" t="s">
        <v>799</v>
      </c>
      <c r="F256" s="307" t="s">
        <v>800</v>
      </c>
      <c r="G256" s="307"/>
      <c r="H256" s="308" t="s">
        <v>203</v>
      </c>
      <c r="I256" s="308" t="s">
        <v>330</v>
      </c>
      <c r="J256" s="229" t="s">
        <v>2843</v>
      </c>
      <c r="K256" s="226">
        <v>44487</v>
      </c>
      <c r="L256" s="226">
        <v>44487</v>
      </c>
      <c r="M256" s="226" t="str">
        <f>IFERROR(IF(VLOOKUP(功能_33[[#This Row],[功能代號]],討論項目!A:H,8,FALSE)=0,"",VLOOKUP(功能_33[[#This Row],[功能代號]],討論項目!A:H,8,FALSE)),"")</f>
        <v/>
      </c>
      <c r="N256" s="308" t="s">
        <v>7</v>
      </c>
      <c r="O256" s="308" t="s">
        <v>11</v>
      </c>
      <c r="T256" s="308"/>
      <c r="V256" s="308"/>
      <c r="W256" s="308"/>
      <c r="X256" s="307" t="str">
        <f>VLOOKUP(功能_33[[#This Row],[User]],SKL放款!A:G,7,FALSE)</f>
        <v>放款服務課</v>
      </c>
      <c r="Y256" s="228">
        <f>IF(功能_33[[#This Row],[實際展示]]="","",功能_33[[#This Row],[實際展示]]+14)</f>
        <v>44501</v>
      </c>
      <c r="Z256" s="226" t="s">
        <v>2809</v>
      </c>
      <c r="AA256" s="226" t="e">
        <f>IF(功能_33[[#This Row],[URS交二審]]=0,"",功能_33[[#This Row],[URS交二審]]+7)</f>
        <v>#VALUE!</v>
      </c>
      <c r="AB256" s="226"/>
      <c r="AC256" s="226"/>
      <c r="AD256" s="226"/>
      <c r="AE256" s="226"/>
      <c r="AF256" s="355"/>
      <c r="AG256" s="226" t="str">
        <f>IFERROR(IF(VLOOKUP(功能_33[[#This Row],[功能代號]],E:Q,11,FALSE)=0,"",VLOOKUP(功能_33[[#This Row],[功能代號]],E:Q,11,FALSE)),"")</f>
        <v>蔡珮瑜</v>
      </c>
      <c r="AH256" s="226"/>
      <c r="AI256" s="226"/>
      <c r="AJ256" s="307"/>
      <c r="AK256" s="226"/>
      <c r="AL256" s="308" t="s">
        <v>2848</v>
      </c>
      <c r="AN256" s="307" t="e">
        <f>VLOOKUP(功能_33[[#This Row],[功能代號]],工作表2!B:B,1,FALSE)</f>
        <v>#N/A</v>
      </c>
    </row>
    <row r="257" spans="1:40" ht="14.25" customHeight="1">
      <c r="A257" s="224">
        <v>307</v>
      </c>
      <c r="B257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307" t="s">
        <v>106</v>
      </c>
      <c r="D257" s="307"/>
      <c r="E257" s="308" t="s">
        <v>801</v>
      </c>
      <c r="F257" s="307" t="s">
        <v>802</v>
      </c>
      <c r="G257" s="307"/>
      <c r="H257" s="308" t="s">
        <v>203</v>
      </c>
      <c r="I257" s="308" t="s">
        <v>330</v>
      </c>
      <c r="J257" s="229" t="s">
        <v>2843</v>
      </c>
      <c r="K257" s="226">
        <v>44487</v>
      </c>
      <c r="L257" s="226">
        <v>44487</v>
      </c>
      <c r="M257" s="226">
        <f>IFERROR(IF(VLOOKUP(功能_33[[#This Row],[功能代號]],討論項目!A:H,8,FALSE)=0,"",VLOOKUP(功能_33[[#This Row],[功能代號]],討論項目!A:H,8,FALSE)),"")</f>
        <v>44466</v>
      </c>
      <c r="N257" s="308" t="s">
        <v>12</v>
      </c>
      <c r="O257" s="308" t="s">
        <v>11</v>
      </c>
      <c r="T257" s="308"/>
      <c r="V257" s="308"/>
      <c r="W257" s="308"/>
      <c r="X257" s="307" t="str">
        <f>VLOOKUP(功能_33[[#This Row],[User]],SKL放款!A:G,7,FALSE)</f>
        <v>放款服務課</v>
      </c>
      <c r="Y257" s="228">
        <f>IF(功能_33[[#This Row],[實際展示]]="","",功能_33[[#This Row],[實際展示]]+14)</f>
        <v>44501</v>
      </c>
      <c r="Z257" s="226" t="s">
        <v>2808</v>
      </c>
      <c r="AA257" s="226"/>
      <c r="AB257" s="226"/>
      <c r="AC257" s="226"/>
      <c r="AD257" s="226"/>
      <c r="AE257" s="226"/>
      <c r="AF257" s="355"/>
      <c r="AG257" s="226" t="str">
        <f>IFERROR(IF(VLOOKUP(功能_33[[#This Row],[功能代號]],E:Q,11,FALSE)=0,"",VLOOKUP(功能_33[[#This Row],[功能代號]],E:Q,11,FALSE)),"")</f>
        <v>蔡珮瑜</v>
      </c>
      <c r="AH257" s="226"/>
      <c r="AI257" s="226"/>
      <c r="AJ257" s="307"/>
      <c r="AK257" s="228" t="s">
        <v>796</v>
      </c>
      <c r="AL257" s="308" t="s">
        <v>2848</v>
      </c>
      <c r="AN257" s="307" t="str">
        <f>VLOOKUP(功能_33[[#This Row],[功能代號]],工作表2!B:B,1,FALSE)</f>
        <v>L6908</v>
      </c>
    </row>
    <row r="258" spans="1:40" ht="14.25" customHeight="1">
      <c r="A258" s="224"/>
      <c r="B2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8" s="307" t="s">
        <v>106</v>
      </c>
      <c r="D258" s="230"/>
      <c r="E258" s="308" t="s">
        <v>803</v>
      </c>
      <c r="F258" s="307" t="s">
        <v>804</v>
      </c>
      <c r="G258" s="307" t="s">
        <v>805</v>
      </c>
      <c r="H258" s="308" t="s">
        <v>203</v>
      </c>
      <c r="I258" s="308" t="s">
        <v>330</v>
      </c>
      <c r="J258" s="229" t="s">
        <v>2843</v>
      </c>
      <c r="K258" s="226">
        <v>44487</v>
      </c>
      <c r="L258" s="226">
        <v>44487</v>
      </c>
      <c r="M258" s="226">
        <f>IFERROR(IF(VLOOKUP(功能_33[[#This Row],[功能代號]],討論項目!A:H,8,FALSE)=0,"",VLOOKUP(功能_33[[#This Row],[功能代號]],討論項目!A:H,8,FALSE)),"")</f>
        <v>44494</v>
      </c>
      <c r="N258" s="308" t="s">
        <v>12</v>
      </c>
      <c r="O258" s="308" t="s">
        <v>180</v>
      </c>
      <c r="T258" s="308"/>
      <c r="V258" s="308"/>
      <c r="W258" s="308"/>
      <c r="X258" s="307" t="str">
        <f>VLOOKUP(功能_33[[#This Row],[User]],SKL放款!A:G,7,FALSE)</f>
        <v>放款服務課</v>
      </c>
      <c r="Y258" s="228">
        <f>IF(功能_33[[#This Row],[實際展示]]="","",功能_33[[#This Row],[實際展示]]+14)</f>
        <v>44501</v>
      </c>
      <c r="Z258" s="226" t="s">
        <v>2808</v>
      </c>
      <c r="AA258" s="226"/>
      <c r="AB258" s="226"/>
      <c r="AC258" s="226"/>
      <c r="AD258" s="226"/>
      <c r="AE258" s="226"/>
      <c r="AF258" s="355"/>
      <c r="AG258" s="226" t="str">
        <f>IFERROR(IF(VLOOKUP(功能_33[[#This Row],[功能代號]],E:Q,11,FALSE)=0,"",VLOOKUP(功能_33[[#This Row],[功能代號]],E:Q,11,FALSE)),"")</f>
        <v>陳政皓</v>
      </c>
      <c r="AH258" s="226"/>
      <c r="AI258" s="226"/>
      <c r="AJ258" s="307"/>
      <c r="AL258" s="308" t="s">
        <v>2848</v>
      </c>
      <c r="AN258" s="307" t="str">
        <f>VLOOKUP(功能_33[[#This Row],[功能代號]],工作表2!B:B,1,FALSE)</f>
        <v>L6102</v>
      </c>
    </row>
    <row r="259" spans="1:40" ht="14.25" hidden="1" customHeight="1">
      <c r="A259" s="224">
        <v>186</v>
      </c>
      <c r="B2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307" t="s">
        <v>102</v>
      </c>
      <c r="D259" s="307"/>
      <c r="E259" s="308" t="s">
        <v>806</v>
      </c>
      <c r="F259" s="396" t="s">
        <v>807</v>
      </c>
      <c r="G259" s="307"/>
      <c r="H259" s="308" t="s">
        <v>203</v>
      </c>
      <c r="I259" s="308" t="s">
        <v>204</v>
      </c>
      <c r="J259" s="229"/>
      <c r="K259" s="226">
        <v>44491</v>
      </c>
      <c r="L259" s="226">
        <v>44498</v>
      </c>
      <c r="M259" s="226"/>
      <c r="N259" s="308" t="s">
        <v>8</v>
      </c>
      <c r="O259" s="308" t="s">
        <v>24</v>
      </c>
      <c r="T259" s="308"/>
      <c r="V259" s="308"/>
      <c r="W259" s="308"/>
      <c r="X259" s="307" t="str">
        <f>VLOOKUP(功能_33[[#This Row],[User]],SKL放款!A:G,7,FALSE)</f>
        <v>放款服務課</v>
      </c>
      <c r="Y259" s="228">
        <f>IF(功能_33[[#This Row],[實際展示]]="","",功能_33[[#This Row],[實際展示]]+14)</f>
        <v>44512</v>
      </c>
      <c r="Z259" s="226" t="s">
        <v>205</v>
      </c>
      <c r="AA259" s="226">
        <v>44477</v>
      </c>
      <c r="AB259" s="226">
        <v>44477</v>
      </c>
      <c r="AC259" s="226"/>
      <c r="AD259" s="226" t="s">
        <v>198</v>
      </c>
      <c r="AE259" s="226"/>
      <c r="AF259" s="355"/>
      <c r="AG259" s="226" t="str">
        <f>IFERROR(IF(VLOOKUP(功能_33[[#This Row],[功能代號]],E:Q,11,FALSE)=0,"",VLOOKUP(功能_33[[#This Row],[功能代號]],E:Q,11,FALSE)),"")</f>
        <v>邵淑微</v>
      </c>
      <c r="AH259" s="226"/>
      <c r="AI259" s="226"/>
      <c r="AJ259" s="307"/>
      <c r="AK259" s="225" t="s">
        <v>808</v>
      </c>
      <c r="AL259" s="308" t="s">
        <v>809</v>
      </c>
      <c r="AM259" s="307" t="s">
        <v>810</v>
      </c>
      <c r="AN259" s="307" t="e">
        <f>VLOOKUP(功能_33[[#This Row],[功能代號]],工作表2!B:B,1,FALSE)</f>
        <v>#N/A</v>
      </c>
    </row>
    <row r="260" spans="1:40" ht="14.25" hidden="1" customHeight="1">
      <c r="A260" s="224">
        <v>181</v>
      </c>
      <c r="B2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307" t="s">
        <v>102</v>
      </c>
      <c r="D260" s="307"/>
      <c r="E260" s="308" t="s">
        <v>811</v>
      </c>
      <c r="F260" s="396" t="s">
        <v>812</v>
      </c>
      <c r="G260" s="307"/>
      <c r="H260" s="308" t="s">
        <v>203</v>
      </c>
      <c r="I260" s="308" t="s">
        <v>204</v>
      </c>
      <c r="J260" s="229"/>
      <c r="K260" s="226">
        <v>44491</v>
      </c>
      <c r="L260" s="226">
        <v>44498</v>
      </c>
      <c r="M260" s="226">
        <f>IFERROR(IF(VLOOKUP(功能_33[[#This Row],[功能代號]],討論項目!A:H,8,FALSE)=0,"",VLOOKUP(功能_33[[#This Row],[功能代號]],討論項目!A:H,8,FALSE)),"")</f>
        <v>44504</v>
      </c>
      <c r="N260" s="308" t="s">
        <v>8</v>
      </c>
      <c r="O260" s="308" t="s">
        <v>11</v>
      </c>
      <c r="T260" s="308"/>
      <c r="V260" s="308"/>
      <c r="W260" s="308"/>
      <c r="X260" s="307" t="str">
        <f>VLOOKUP(功能_33[[#This Row],[User]],SKL放款!A:G,7,FALSE)</f>
        <v>放款服務課</v>
      </c>
      <c r="Y260" s="228">
        <f>IF(功能_33[[#This Row],[實際展示]]="","",功能_33[[#This Row],[實際展示]]+14)</f>
        <v>44512</v>
      </c>
      <c r="Z260" s="226" t="s">
        <v>213</v>
      </c>
      <c r="AA260" s="226"/>
      <c r="AB260" s="226"/>
      <c r="AC260" s="226"/>
      <c r="AD260" s="226"/>
      <c r="AE260" s="226"/>
      <c r="AF260" s="355"/>
      <c r="AG260" s="226" t="str">
        <f>IFERROR(IF(VLOOKUP(功能_33[[#This Row],[功能代號]],E:Q,11,FALSE)=0,"",VLOOKUP(功能_33[[#This Row],[功能代號]],E:Q,11,FALSE)),"")</f>
        <v>蔡珮瑜</v>
      </c>
      <c r="AH260" s="226"/>
      <c r="AI260" s="226"/>
      <c r="AJ260" s="307"/>
      <c r="AK260" s="226">
        <v>44491</v>
      </c>
      <c r="AL260" s="308">
        <v>232</v>
      </c>
      <c r="AM260" s="307" t="s">
        <v>813</v>
      </c>
      <c r="AN260" s="307" t="str">
        <f>VLOOKUP(功能_33[[#This Row],[功能代號]],工作表2!B:B,1,FALSE)</f>
        <v>L2631</v>
      </c>
    </row>
    <row r="261" spans="1:40" ht="14.25" hidden="1" customHeight="1">
      <c r="A261" s="224">
        <v>182</v>
      </c>
      <c r="B261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1" s="307" t="s">
        <v>102</v>
      </c>
      <c r="D261" s="307" t="s">
        <v>144</v>
      </c>
      <c r="E261" s="308" t="s">
        <v>814</v>
      </c>
      <c r="F261" s="396" t="s">
        <v>815</v>
      </c>
      <c r="G261" s="307"/>
      <c r="H261" s="308" t="s">
        <v>203</v>
      </c>
      <c r="I261" s="308" t="s">
        <v>204</v>
      </c>
      <c r="J261" s="229"/>
      <c r="K261" s="226">
        <v>44491</v>
      </c>
      <c r="L261" s="226">
        <v>44498</v>
      </c>
      <c r="M261" s="226" t="str">
        <f>IFERROR(IF(VLOOKUP(功能_33[[#This Row],[功能代號]],討論項目!A:H,8,FALSE)=0,"",VLOOKUP(功能_33[[#This Row],[功能代號]],討論項目!A:H,8,FALSE)),"")</f>
        <v/>
      </c>
      <c r="N261" s="308" t="s">
        <v>8</v>
      </c>
      <c r="O261" s="308" t="s">
        <v>11</v>
      </c>
      <c r="T261" s="308"/>
      <c r="V261" s="308"/>
      <c r="W261" s="308"/>
      <c r="X261" s="307" t="str">
        <f>VLOOKUP(功能_33[[#This Row],[User]],SKL放款!A:G,7,FALSE)</f>
        <v>放款服務課</v>
      </c>
      <c r="Y261" s="228">
        <f>IF(功能_33[[#This Row],[實際展示]]="","",功能_33[[#This Row],[實際展示]]+14)</f>
        <v>44512</v>
      </c>
      <c r="Z261" s="226" t="s">
        <v>205</v>
      </c>
      <c r="AA261" s="226">
        <v>44477</v>
      </c>
      <c r="AB261" s="226">
        <v>44477</v>
      </c>
      <c r="AC261" s="226"/>
      <c r="AD261" s="226" t="s">
        <v>198</v>
      </c>
      <c r="AE261" s="226"/>
      <c r="AF261" s="355"/>
      <c r="AG261" s="226" t="str">
        <f>IFERROR(IF(VLOOKUP(功能_33[[#This Row],[功能代號]],E:Q,11,FALSE)=0,"",VLOOKUP(功能_33[[#This Row],[功能代號]],E:Q,11,FALSE)),"")</f>
        <v>蔡珮瑜</v>
      </c>
      <c r="AH261" s="226"/>
      <c r="AI261" s="226"/>
      <c r="AJ261" s="307"/>
      <c r="AK261" s="226">
        <v>44491</v>
      </c>
      <c r="AL261" s="308">
        <v>232</v>
      </c>
      <c r="AM261" s="307" t="s">
        <v>816</v>
      </c>
      <c r="AN261" s="307" t="e">
        <f>VLOOKUP(功能_33[[#This Row],[功能代號]],工作表2!B:B,1,FALSE)</f>
        <v>#N/A</v>
      </c>
    </row>
    <row r="262" spans="1:40" ht="14.25" hidden="1" customHeight="1">
      <c r="A262" s="224">
        <v>183</v>
      </c>
      <c r="B262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2" s="307" t="s">
        <v>102</v>
      </c>
      <c r="D262" s="307"/>
      <c r="E262" s="308" t="s">
        <v>817</v>
      </c>
      <c r="F262" s="396" t="s">
        <v>818</v>
      </c>
      <c r="G262" s="307"/>
      <c r="H262" s="308" t="s">
        <v>203</v>
      </c>
      <c r="I262" s="308" t="s">
        <v>204</v>
      </c>
      <c r="J262" s="229"/>
      <c r="K262" s="226">
        <v>44491</v>
      </c>
      <c r="L262" s="226">
        <v>44498</v>
      </c>
      <c r="M262" s="226" t="str">
        <f>IFERROR(IF(VLOOKUP(功能_33[[#This Row],[功能代號]],討論項目!A:H,8,FALSE)=0,"",VLOOKUP(功能_33[[#This Row],[功能代號]],討論項目!A:H,8,FALSE)),"")</f>
        <v/>
      </c>
      <c r="N262" s="308" t="s">
        <v>8</v>
      </c>
      <c r="O262" s="308" t="s">
        <v>11</v>
      </c>
      <c r="T262" s="308"/>
      <c r="V262" s="308"/>
      <c r="W262" s="308"/>
      <c r="X262" s="307" t="str">
        <f>VLOOKUP(功能_33[[#This Row],[User]],SKL放款!A:G,7,FALSE)</f>
        <v>放款服務課</v>
      </c>
      <c r="Y262" s="228">
        <f>IF(功能_33[[#This Row],[實際展示]]="","",功能_33[[#This Row],[實際展示]]+14)</f>
        <v>44512</v>
      </c>
      <c r="Z262" s="226" t="s">
        <v>205</v>
      </c>
      <c r="AA262" s="226">
        <v>44477</v>
      </c>
      <c r="AB262" s="226">
        <v>44477</v>
      </c>
      <c r="AC262" s="226"/>
      <c r="AD262" s="226" t="s">
        <v>198</v>
      </c>
      <c r="AE262" s="226"/>
      <c r="AF262" s="355"/>
      <c r="AG262" s="226" t="str">
        <f>IFERROR(IF(VLOOKUP(功能_33[[#This Row],[功能代號]],E:Q,11,FALSE)=0,"",VLOOKUP(功能_33[[#This Row],[功能代號]],E:Q,11,FALSE)),"")</f>
        <v>蔡珮瑜</v>
      </c>
      <c r="AH262" s="226"/>
      <c r="AI262" s="226"/>
      <c r="AJ262" s="307"/>
      <c r="AK262" s="226">
        <v>44491</v>
      </c>
      <c r="AL262" s="308">
        <v>233</v>
      </c>
      <c r="AM262" s="307" t="s">
        <v>819</v>
      </c>
      <c r="AN262" s="307" t="e">
        <f>VLOOKUP(功能_33[[#This Row],[功能代號]],工作表2!B:B,1,FALSE)</f>
        <v>#N/A</v>
      </c>
    </row>
    <row r="263" spans="1:40" ht="14.25" hidden="1" customHeight="1">
      <c r="A263" s="224">
        <v>184</v>
      </c>
      <c r="B263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307" t="s">
        <v>102</v>
      </c>
      <c r="D263" s="307"/>
      <c r="E263" s="308" t="s">
        <v>820</v>
      </c>
      <c r="F263" s="396" t="s">
        <v>821</v>
      </c>
      <c r="G263" s="307"/>
      <c r="H263" s="308" t="s">
        <v>203</v>
      </c>
      <c r="I263" s="308" t="s">
        <v>204</v>
      </c>
      <c r="J263" s="229"/>
      <c r="K263" s="226">
        <v>44491</v>
      </c>
      <c r="L263" s="226">
        <v>44498</v>
      </c>
      <c r="M263" s="226" t="str">
        <f>IFERROR(IF(VLOOKUP(功能_33[[#This Row],[功能代號]],討論項目!A:H,8,FALSE)=0,"",VLOOKUP(功能_33[[#This Row],[功能代號]],討論項目!A:H,8,FALSE)),"")</f>
        <v/>
      </c>
      <c r="N263" s="308" t="s">
        <v>8</v>
      </c>
      <c r="O263" s="308" t="s">
        <v>11</v>
      </c>
      <c r="T263" s="308"/>
      <c r="V263" s="308"/>
      <c r="W263" s="308"/>
      <c r="X263" s="307" t="str">
        <f>VLOOKUP(功能_33[[#This Row],[User]],SKL放款!A:G,7,FALSE)</f>
        <v>放款服務課</v>
      </c>
      <c r="Y263" s="228">
        <f>IF(功能_33[[#This Row],[實際展示]]="","",功能_33[[#This Row],[實際展示]]+14)</f>
        <v>44512</v>
      </c>
      <c r="Z263" s="226" t="s">
        <v>205</v>
      </c>
      <c r="AA263" s="226">
        <v>44477</v>
      </c>
      <c r="AB263" s="226">
        <v>44477</v>
      </c>
      <c r="AC263" s="226"/>
      <c r="AD263" s="226" t="s">
        <v>198</v>
      </c>
      <c r="AE263" s="226"/>
      <c r="AF263" s="355"/>
      <c r="AG263" s="226" t="str">
        <f>IFERROR(IF(VLOOKUP(功能_33[[#This Row],[功能代號]],E:Q,11,FALSE)=0,"",VLOOKUP(功能_33[[#This Row],[功能代號]],E:Q,11,FALSE)),"")</f>
        <v>蔡珮瑜</v>
      </c>
      <c r="AH263" s="226"/>
      <c r="AI263" s="226"/>
      <c r="AJ263" s="307"/>
      <c r="AK263" s="226">
        <v>44491</v>
      </c>
      <c r="AL263" s="308" t="s">
        <v>199</v>
      </c>
      <c r="AM263" s="308" t="s">
        <v>199</v>
      </c>
      <c r="AN263" s="307" t="e">
        <f>VLOOKUP(功能_33[[#This Row],[功能代號]],工作表2!B:B,1,FALSE)</f>
        <v>#N/A</v>
      </c>
    </row>
    <row r="264" spans="1:40" ht="14.25" hidden="1" customHeight="1">
      <c r="A264" s="224">
        <v>185</v>
      </c>
      <c r="B2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307" t="s">
        <v>102</v>
      </c>
      <c r="D264" s="307"/>
      <c r="E264" s="308" t="s">
        <v>822</v>
      </c>
      <c r="F264" s="396" t="s">
        <v>823</v>
      </c>
      <c r="G264" s="307"/>
      <c r="H264" s="308" t="s">
        <v>203</v>
      </c>
      <c r="I264" s="308" t="s">
        <v>204</v>
      </c>
      <c r="J264" s="229"/>
      <c r="K264" s="226">
        <v>44491</v>
      </c>
      <c r="L264" s="226">
        <v>44498</v>
      </c>
      <c r="M264" s="226" t="str">
        <f>IFERROR(IF(VLOOKUP(功能_33[[#This Row],[功能代號]],討論項目!A:H,8,FALSE)=0,"",VLOOKUP(功能_33[[#This Row],[功能代號]],討論項目!A:H,8,FALSE)),"")</f>
        <v/>
      </c>
      <c r="N264" s="308" t="s">
        <v>8</v>
      </c>
      <c r="O264" s="308" t="s">
        <v>11</v>
      </c>
      <c r="T264" s="308"/>
      <c r="V264" s="308"/>
      <c r="W264" s="308"/>
      <c r="X264" s="307" t="str">
        <f>VLOOKUP(功能_33[[#This Row],[User]],SKL放款!A:G,7,FALSE)</f>
        <v>放款服務課</v>
      </c>
      <c r="Y264" s="228">
        <f>IF(功能_33[[#This Row],[實際展示]]="","",功能_33[[#This Row],[實際展示]]+14)</f>
        <v>44512</v>
      </c>
      <c r="Z264" s="226" t="s">
        <v>205</v>
      </c>
      <c r="AA264" s="226">
        <v>44477</v>
      </c>
      <c r="AB264" s="226">
        <v>44477</v>
      </c>
      <c r="AC264" s="226"/>
      <c r="AD264" s="226" t="s">
        <v>198</v>
      </c>
      <c r="AE264" s="226"/>
      <c r="AF264" s="355"/>
      <c r="AG264" s="226" t="str">
        <f>IFERROR(IF(VLOOKUP(功能_33[[#This Row],[功能代號]],E:Q,11,FALSE)=0,"",VLOOKUP(功能_33[[#This Row],[功能代號]],E:Q,11,FALSE)),"")</f>
        <v>蔡珮瑜</v>
      </c>
      <c r="AH264" s="226"/>
      <c r="AI264" s="226"/>
      <c r="AJ264" s="307"/>
      <c r="AK264" s="226">
        <v>44491</v>
      </c>
      <c r="AL264" s="308">
        <v>233</v>
      </c>
      <c r="AM264" s="307" t="s">
        <v>824</v>
      </c>
      <c r="AN264" s="307" t="e">
        <f>VLOOKUP(功能_33[[#This Row],[功能代號]],工作表2!B:B,1,FALSE)</f>
        <v>#N/A</v>
      </c>
    </row>
    <row r="265" spans="1:40" ht="14.25" hidden="1" customHeight="1">
      <c r="A265" s="224">
        <v>233</v>
      </c>
      <c r="B265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5" s="307" t="s">
        <v>104</v>
      </c>
      <c r="D265" s="307" t="s">
        <v>825</v>
      </c>
      <c r="E265" s="308" t="s">
        <v>826</v>
      </c>
      <c r="F265" s="307" t="s">
        <v>827</v>
      </c>
      <c r="G265" s="307"/>
      <c r="H265" s="308" t="s">
        <v>203</v>
      </c>
      <c r="I265" s="308" t="s">
        <v>447</v>
      </c>
      <c r="J265" s="229"/>
      <c r="K265" s="226">
        <v>44490</v>
      </c>
      <c r="L265" s="226">
        <v>44490</v>
      </c>
      <c r="M265" s="226" t="str">
        <f>IFERROR(IF(VLOOKUP(功能_33[[#This Row],[功能代號]],討論項目!A:H,8,FALSE)=0,"",VLOOKUP(功能_33[[#This Row],[功能代號]],討論項目!A:H,8,FALSE)),"")</f>
        <v/>
      </c>
      <c r="N265" s="308" t="s">
        <v>7</v>
      </c>
      <c r="O265" s="308" t="s">
        <v>180</v>
      </c>
      <c r="T265" s="308"/>
      <c r="V265" s="308"/>
      <c r="W265" s="308"/>
      <c r="X265" s="307" t="str">
        <f>VLOOKUP(功能_33[[#This Row],[User]],SKL放款!A:G,7,FALSE)</f>
        <v>放款服務課</v>
      </c>
      <c r="Y265" s="228">
        <f>IF(功能_33[[#This Row],[實際展示]]="","",功能_33[[#This Row],[實際展示]]+14)</f>
        <v>44504</v>
      </c>
      <c r="Z265" s="226" t="s">
        <v>205</v>
      </c>
      <c r="AA265" s="226"/>
      <c r="AB265" s="226"/>
      <c r="AC265" s="226"/>
      <c r="AD265" s="226"/>
      <c r="AE265" s="226"/>
      <c r="AF265" s="355"/>
      <c r="AG265" s="226" t="str">
        <f>IFERROR(IF(VLOOKUP(功能_33[[#This Row],[功能代號]],E:Q,11,FALSE)=0,"",VLOOKUP(功能_33[[#This Row],[功能代號]],E:Q,11,FALSE)),"")</f>
        <v>陳政皓</v>
      </c>
      <c r="AH265" s="226"/>
      <c r="AI265" s="226"/>
      <c r="AJ265" s="307"/>
      <c r="AK265" s="226"/>
      <c r="AN265" s="307" t="e">
        <f>VLOOKUP(功能_33[[#This Row],[功能代號]],工作表2!B:B,1,FALSE)</f>
        <v>#N/A</v>
      </c>
    </row>
    <row r="266" spans="1:40" ht="14.25" hidden="1" customHeight="1">
      <c r="A266" s="224">
        <v>234</v>
      </c>
      <c r="B266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307" t="s">
        <v>104</v>
      </c>
      <c r="D266" s="307" t="s">
        <v>825</v>
      </c>
      <c r="E266" s="308" t="s">
        <v>828</v>
      </c>
      <c r="F266" s="307" t="s">
        <v>829</v>
      </c>
      <c r="G266" s="307"/>
      <c r="H266" s="308" t="s">
        <v>203</v>
      </c>
      <c r="I266" s="308" t="s">
        <v>447</v>
      </c>
      <c r="J266" s="229"/>
      <c r="K266" s="226">
        <v>44490</v>
      </c>
      <c r="L266" s="226">
        <v>44490</v>
      </c>
      <c r="M266" s="226" t="str">
        <f>IFERROR(IF(VLOOKUP(功能_33[[#This Row],[功能代號]],討論項目!A:H,8,FALSE)=0,"",VLOOKUP(功能_33[[#This Row],[功能代號]],討論項目!A:H,8,FALSE)),"")</f>
        <v/>
      </c>
      <c r="N266" s="308" t="s">
        <v>7</v>
      </c>
      <c r="O266" s="308" t="s">
        <v>180</v>
      </c>
      <c r="T266" s="308"/>
      <c r="V266" s="308"/>
      <c r="W266" s="308"/>
      <c r="X266" s="307" t="str">
        <f>VLOOKUP(功能_33[[#This Row],[User]],SKL放款!A:G,7,FALSE)</f>
        <v>放款服務課</v>
      </c>
      <c r="Y266" s="228">
        <f>IF(功能_33[[#This Row],[實際展示]]="","",功能_33[[#This Row],[實際展示]]+14)</f>
        <v>44504</v>
      </c>
      <c r="Z266" s="226" t="s">
        <v>213</v>
      </c>
      <c r="AA266" s="226"/>
      <c r="AB266" s="226"/>
      <c r="AC266" s="226"/>
      <c r="AD266" s="226"/>
      <c r="AE266" s="226"/>
      <c r="AF266" s="355"/>
      <c r="AG266" s="226" t="str">
        <f>IFERROR(IF(VLOOKUP(功能_33[[#This Row],[功能代號]],E:Q,11,FALSE)=0,"",VLOOKUP(功能_33[[#This Row],[功能代號]],E:Q,11,FALSE)),"")</f>
        <v>陳政皓</v>
      </c>
      <c r="AH266" s="226"/>
      <c r="AI266" s="226"/>
      <c r="AJ266" s="307"/>
      <c r="AK266" s="226"/>
      <c r="AN266" s="307" t="str">
        <f>VLOOKUP(功能_33[[#This Row],[功能代號]],工作表2!B:B,1,FALSE)</f>
        <v>L4320</v>
      </c>
    </row>
    <row r="267" spans="1:40" ht="14.25" hidden="1" customHeight="1">
      <c r="A267" s="224">
        <v>235</v>
      </c>
      <c r="B267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307" t="s">
        <v>104</v>
      </c>
      <c r="D267" s="307" t="s">
        <v>825</v>
      </c>
      <c r="E267" s="308" t="s">
        <v>830</v>
      </c>
      <c r="F267" s="307" t="s">
        <v>831</v>
      </c>
      <c r="G267" s="307"/>
      <c r="H267" s="308" t="s">
        <v>203</v>
      </c>
      <c r="I267" s="308" t="s">
        <v>447</v>
      </c>
      <c r="J267" s="229"/>
      <c r="K267" s="226">
        <v>44490</v>
      </c>
      <c r="L267" s="226">
        <v>44490</v>
      </c>
      <c r="M267" s="226" t="str">
        <f>IFERROR(IF(VLOOKUP(功能_33[[#This Row],[功能代號]],討論項目!A:H,8,FALSE)=0,"",VLOOKUP(功能_33[[#This Row],[功能代號]],討論項目!A:H,8,FALSE)),"")</f>
        <v/>
      </c>
      <c r="N267" s="308" t="s">
        <v>7</v>
      </c>
      <c r="O267" s="308" t="s">
        <v>180</v>
      </c>
      <c r="T267" s="308"/>
      <c r="V267" s="308"/>
      <c r="W267" s="308"/>
      <c r="X267" s="307" t="str">
        <f>VLOOKUP(功能_33[[#This Row],[User]],SKL放款!A:G,7,FALSE)</f>
        <v>放款服務課</v>
      </c>
      <c r="Y267" s="228">
        <f>IF(功能_33[[#This Row],[實際展示]]="","",功能_33[[#This Row],[實際展示]]+14)</f>
        <v>44504</v>
      </c>
      <c r="Z267" s="226" t="s">
        <v>213</v>
      </c>
      <c r="AA267" s="226"/>
      <c r="AB267" s="226"/>
      <c r="AC267" s="226"/>
      <c r="AD267" s="226"/>
      <c r="AE267" s="226"/>
      <c r="AF267" s="355"/>
      <c r="AG267" s="226" t="str">
        <f>IFERROR(IF(VLOOKUP(功能_33[[#This Row],[功能代號]],E:Q,11,FALSE)=0,"",VLOOKUP(功能_33[[#This Row],[功能代號]],E:Q,11,FALSE)),"")</f>
        <v>陳政皓</v>
      </c>
      <c r="AH267" s="226"/>
      <c r="AI267" s="226"/>
      <c r="AJ267" s="307"/>
      <c r="AK267" s="226"/>
      <c r="AN267" s="307" t="str">
        <f>VLOOKUP(功能_33[[#This Row],[功能代號]],工作表2!B:B,1,FALSE)</f>
        <v>L4031</v>
      </c>
    </row>
    <row r="268" spans="1:40" ht="14.25" hidden="1" customHeight="1">
      <c r="A268" s="224">
        <v>236</v>
      </c>
      <c r="B268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307" t="s">
        <v>104</v>
      </c>
      <c r="D268" s="307" t="s">
        <v>825</v>
      </c>
      <c r="E268" s="308" t="s">
        <v>832</v>
      </c>
      <c r="F268" s="307" t="s">
        <v>833</v>
      </c>
      <c r="G268" s="307"/>
      <c r="H268" s="308" t="s">
        <v>203</v>
      </c>
      <c r="I268" s="308" t="s">
        <v>447</v>
      </c>
      <c r="J268" s="229"/>
      <c r="K268" s="226">
        <v>44490</v>
      </c>
      <c r="L268" s="226">
        <v>44490</v>
      </c>
      <c r="M268" s="226" t="str">
        <f>IFERROR(IF(VLOOKUP(功能_33[[#This Row],[功能代號]],討論項目!A:H,8,FALSE)=0,"",VLOOKUP(功能_33[[#This Row],[功能代號]],討論項目!A:H,8,FALSE)),"")</f>
        <v/>
      </c>
      <c r="N268" s="308" t="s">
        <v>7</v>
      </c>
      <c r="O268" s="308" t="s">
        <v>180</v>
      </c>
      <c r="T268" s="308"/>
      <c r="V268" s="308"/>
      <c r="W268" s="308"/>
      <c r="X268" s="307" t="str">
        <f>VLOOKUP(功能_33[[#This Row],[User]],SKL放款!A:G,7,FALSE)</f>
        <v>放款服務課</v>
      </c>
      <c r="Y268" s="228">
        <f>IF(功能_33[[#This Row],[實際展示]]="","",功能_33[[#This Row],[實際展示]]+14)</f>
        <v>44504</v>
      </c>
      <c r="Z268" s="226" t="s">
        <v>213</v>
      </c>
      <c r="AA268" s="226"/>
      <c r="AB268" s="226"/>
      <c r="AC268" s="226"/>
      <c r="AD268" s="226"/>
      <c r="AE268" s="226"/>
      <c r="AF268" s="355"/>
      <c r="AG268" s="226" t="str">
        <f>IFERROR(IF(VLOOKUP(功能_33[[#This Row],[功能代號]],E:Q,11,FALSE)=0,"",VLOOKUP(功能_33[[#This Row],[功能代號]],E:Q,11,FALSE)),"")</f>
        <v>陳政皓</v>
      </c>
      <c r="AH268" s="226"/>
      <c r="AI268" s="226"/>
      <c r="AJ268" s="307"/>
      <c r="AK268" s="226"/>
      <c r="AN268" s="307" t="str">
        <f>VLOOKUP(功能_33[[#This Row],[功能代號]],工作表2!B:B,1,FALSE)</f>
        <v>L4321</v>
      </c>
    </row>
    <row r="269" spans="1:40" ht="14.25" hidden="1" customHeight="1">
      <c r="A269" s="224">
        <v>237</v>
      </c>
      <c r="B2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307" t="s">
        <v>104</v>
      </c>
      <c r="D269" s="307"/>
      <c r="E269" s="308" t="s">
        <v>834</v>
      </c>
      <c r="F269" s="307" t="s">
        <v>835</v>
      </c>
      <c r="G269" s="307" t="s">
        <v>836</v>
      </c>
      <c r="H269" s="308" t="s">
        <v>203</v>
      </c>
      <c r="I269" s="308" t="s">
        <v>447</v>
      </c>
      <c r="J269" s="229"/>
      <c r="K269" s="226">
        <v>44490</v>
      </c>
      <c r="L269" s="226">
        <v>44490</v>
      </c>
      <c r="M269" s="226" t="str">
        <f>IFERROR(IF(VLOOKUP(功能_33[[#This Row],[功能代號]],討論項目!A:H,8,FALSE)=0,"",VLOOKUP(功能_33[[#This Row],[功能代號]],討論項目!A:H,8,FALSE)),"")</f>
        <v/>
      </c>
      <c r="N269" s="308" t="s">
        <v>7</v>
      </c>
      <c r="O269" s="308" t="s">
        <v>180</v>
      </c>
      <c r="T269" s="308"/>
      <c r="V269" s="308"/>
      <c r="W269" s="308"/>
      <c r="X269" s="307" t="str">
        <f>VLOOKUP(功能_33[[#This Row],[User]],SKL放款!A:G,7,FALSE)</f>
        <v>放款服務課</v>
      </c>
      <c r="Y269" s="228">
        <f>IF(功能_33[[#This Row],[實際展示]]="","",功能_33[[#This Row],[實際展示]]+14)</f>
        <v>44504</v>
      </c>
      <c r="Z269" s="226" t="s">
        <v>205</v>
      </c>
      <c r="AA269" s="226"/>
      <c r="AB269" s="226"/>
      <c r="AC269" s="226"/>
      <c r="AD269" s="226"/>
      <c r="AE269" s="226"/>
      <c r="AF269" s="355"/>
      <c r="AG269" s="226" t="str">
        <f>IFERROR(IF(VLOOKUP(功能_33[[#This Row],[功能代號]],E:Q,11,FALSE)=0,"",VLOOKUP(功能_33[[#This Row],[功能代號]],E:Q,11,FALSE)),"")</f>
        <v>陳政皓</v>
      </c>
      <c r="AH269" s="226"/>
      <c r="AI269" s="226"/>
      <c r="AJ269" s="307"/>
      <c r="AK269" s="226"/>
      <c r="AN269" s="307" t="e">
        <f>VLOOKUP(功能_33[[#This Row],[功能代號]],工作表2!B:B,1,FALSE)</f>
        <v>#N/A</v>
      </c>
    </row>
    <row r="270" spans="1:40" ht="14.25" hidden="1" customHeight="1">
      <c r="A270" s="224">
        <v>238</v>
      </c>
      <c r="B2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07" t="s">
        <v>104</v>
      </c>
      <c r="D270" s="307"/>
      <c r="E270" s="308" t="s">
        <v>837</v>
      </c>
      <c r="F270" s="307" t="s">
        <v>838</v>
      </c>
      <c r="G270" s="307"/>
      <c r="H270" s="308" t="s">
        <v>203</v>
      </c>
      <c r="I270" s="308" t="s">
        <v>447</v>
      </c>
      <c r="J270" s="229"/>
      <c r="K270" s="226">
        <v>44490</v>
      </c>
      <c r="L270" s="226">
        <v>44490</v>
      </c>
      <c r="M270" s="226" t="str">
        <f>IFERROR(IF(VLOOKUP(功能_33[[#This Row],[功能代號]],討論項目!A:H,8,FALSE)=0,"",VLOOKUP(功能_33[[#This Row],[功能代號]],討論項目!A:H,8,FALSE)),"")</f>
        <v/>
      </c>
      <c r="N270" s="308" t="s">
        <v>7</v>
      </c>
      <c r="O270" s="308" t="s">
        <v>180</v>
      </c>
      <c r="T270" s="308"/>
      <c r="V270" s="308"/>
      <c r="W270" s="308"/>
      <c r="X270" s="307" t="str">
        <f>VLOOKUP(功能_33[[#This Row],[User]],SKL放款!A:G,7,FALSE)</f>
        <v>放款服務課</v>
      </c>
      <c r="Y270" s="228">
        <f>IF(功能_33[[#This Row],[實際展示]]="","",功能_33[[#This Row],[實際展示]]+14)</f>
        <v>44504</v>
      </c>
      <c r="Z270" s="226" t="s">
        <v>213</v>
      </c>
      <c r="AA270" s="226"/>
      <c r="AB270" s="226"/>
      <c r="AC270" s="226"/>
      <c r="AD270" s="226"/>
      <c r="AE270" s="226"/>
      <c r="AF270" s="355"/>
      <c r="AG270" s="226" t="str">
        <f>IFERROR(IF(VLOOKUP(功能_33[[#This Row],[功能代號]],E:Q,11,FALSE)=0,"",VLOOKUP(功能_33[[#This Row],[功能代號]],E:Q,11,FALSE)),"")</f>
        <v>陳政皓</v>
      </c>
      <c r="AH270" s="226"/>
      <c r="AI270" s="226"/>
      <c r="AJ270" s="307"/>
      <c r="AK270" s="226"/>
      <c r="AN270" s="307" t="str">
        <f>VLOOKUP(功能_33[[#This Row],[功能代號]],工作表2!B:B,1,FALSE)</f>
        <v>L4931</v>
      </c>
    </row>
    <row r="271" spans="1:40" ht="14.25" hidden="1" customHeight="1">
      <c r="A271" s="224">
        <v>239</v>
      </c>
      <c r="B271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307" t="s">
        <v>104</v>
      </c>
      <c r="D271" s="307" t="s">
        <v>825</v>
      </c>
      <c r="E271" s="308" t="s">
        <v>839</v>
      </c>
      <c r="F271" s="307" t="s">
        <v>840</v>
      </c>
      <c r="G271" s="307"/>
      <c r="H271" s="308" t="s">
        <v>203</v>
      </c>
      <c r="I271" s="308" t="s">
        <v>447</v>
      </c>
      <c r="J271" s="229"/>
      <c r="K271" s="226">
        <v>44490</v>
      </c>
      <c r="L271" s="226">
        <v>44490</v>
      </c>
      <c r="M271" s="226" t="str">
        <f>IFERROR(IF(VLOOKUP(功能_33[[#This Row],[功能代號]],討論項目!A:H,8,FALSE)=0,"",VLOOKUP(功能_33[[#This Row],[功能代號]],討論項目!A:H,8,FALSE)),"")</f>
        <v/>
      </c>
      <c r="N271" s="308" t="s">
        <v>7</v>
      </c>
      <c r="O271" s="308" t="s">
        <v>180</v>
      </c>
      <c r="T271" s="308"/>
      <c r="V271" s="308"/>
      <c r="W271" s="308"/>
      <c r="X271" s="307" t="str">
        <f>VLOOKUP(功能_33[[#This Row],[User]],SKL放款!A:G,7,FALSE)</f>
        <v>放款服務課</v>
      </c>
      <c r="Y271" s="228">
        <f>IF(功能_33[[#This Row],[實際展示]]="","",功能_33[[#This Row],[實際展示]]+14)</f>
        <v>44504</v>
      </c>
      <c r="Z271" s="226" t="s">
        <v>205</v>
      </c>
      <c r="AA271" s="226"/>
      <c r="AB271" s="226"/>
      <c r="AC271" s="226"/>
      <c r="AD271" s="226"/>
      <c r="AE271" s="226"/>
      <c r="AF271" s="355"/>
      <c r="AG271" s="226" t="str">
        <f>IFERROR(IF(VLOOKUP(功能_33[[#This Row],[功能代號]],E:Q,11,FALSE)=0,"",VLOOKUP(功能_33[[#This Row],[功能代號]],E:Q,11,FALSE)),"")</f>
        <v>陳政皓</v>
      </c>
      <c r="AH271" s="226"/>
      <c r="AI271" s="226"/>
      <c r="AJ271" s="307"/>
      <c r="AK271" s="226"/>
      <c r="AN271" s="307" t="e">
        <f>VLOOKUP(功能_33[[#This Row],[功能代號]],工作表2!B:B,1,FALSE)</f>
        <v>#N/A</v>
      </c>
    </row>
    <row r="272" spans="1:40" ht="14.25" hidden="1" customHeight="1">
      <c r="A272" s="224">
        <v>240</v>
      </c>
      <c r="B27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307" t="s">
        <v>104</v>
      </c>
      <c r="D272" s="307"/>
      <c r="E272" s="308" t="s">
        <v>841</v>
      </c>
      <c r="F272" s="307" t="s">
        <v>842</v>
      </c>
      <c r="G272" s="307"/>
      <c r="H272" s="308" t="s">
        <v>203</v>
      </c>
      <c r="I272" s="308" t="s">
        <v>447</v>
      </c>
      <c r="J272" s="229"/>
      <c r="K272" s="226">
        <v>44490</v>
      </c>
      <c r="L272" s="226">
        <v>44490</v>
      </c>
      <c r="M272" s="226" t="str">
        <f>IFERROR(IF(VLOOKUP(功能_33[[#This Row],[功能代號]],討論項目!A:H,8,FALSE)=0,"",VLOOKUP(功能_33[[#This Row],[功能代號]],討論項目!A:H,8,FALSE)),"")</f>
        <v/>
      </c>
      <c r="N272" s="308" t="s">
        <v>7</v>
      </c>
      <c r="O272" s="308" t="s">
        <v>11</v>
      </c>
      <c r="T272" s="308"/>
      <c r="V272" s="308"/>
      <c r="W272" s="308"/>
      <c r="X272" s="307" t="str">
        <f>VLOOKUP(功能_33[[#This Row],[User]],SKL放款!A:G,7,FALSE)</f>
        <v>放款服務課</v>
      </c>
      <c r="Y272" s="228">
        <f>IF(功能_33[[#This Row],[實際展示]]="","",功能_33[[#This Row],[實際展示]]+14)</f>
        <v>44504</v>
      </c>
      <c r="Z272" s="226" t="s">
        <v>213</v>
      </c>
      <c r="AA272" s="226"/>
      <c r="AB272" s="226"/>
      <c r="AC272" s="226"/>
      <c r="AD272" s="226"/>
      <c r="AE272" s="226"/>
      <c r="AF272" s="355"/>
      <c r="AG272" s="226" t="str">
        <f>IFERROR(IF(VLOOKUP(功能_33[[#This Row],[功能代號]],E:Q,11,FALSE)=0,"",VLOOKUP(功能_33[[#This Row],[功能代號]],E:Q,11,FALSE)),"")</f>
        <v>蔡珮瑜</v>
      </c>
      <c r="AH272" s="226"/>
      <c r="AI272" s="226"/>
      <c r="AJ272" s="307"/>
      <c r="AK272" s="226"/>
      <c r="AN272" s="307" t="str">
        <f>VLOOKUP(功能_33[[#This Row],[功能代號]],工作表2!B:B,1,FALSE)</f>
        <v>L4030</v>
      </c>
    </row>
    <row r="273" spans="1:40" ht="14.25" customHeight="1">
      <c r="A273" s="224">
        <v>309</v>
      </c>
      <c r="B273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3" s="307" t="s">
        <v>106</v>
      </c>
      <c r="D273" s="307" t="s">
        <v>843</v>
      </c>
      <c r="E273" s="308" t="s">
        <v>844</v>
      </c>
      <c r="F273" s="307" t="s">
        <v>845</v>
      </c>
      <c r="G273" s="307"/>
      <c r="H273" s="308" t="s">
        <v>203</v>
      </c>
      <c r="I273" s="308" t="s">
        <v>330</v>
      </c>
      <c r="J273" s="229" t="s">
        <v>2843</v>
      </c>
      <c r="K273" s="226">
        <v>44489</v>
      </c>
      <c r="L273" s="226">
        <v>44489</v>
      </c>
      <c r="M273" s="226">
        <f>IFERROR(IF(VLOOKUP(功能_33[[#This Row],[功能代號]],討論項目!A:H,8,FALSE)=0,"",VLOOKUP(功能_33[[#This Row],[功能代號]],討論項目!A:H,8,FALSE)),"")</f>
        <v>44494</v>
      </c>
      <c r="N273" s="308" t="s">
        <v>12</v>
      </c>
      <c r="O273" s="308" t="s">
        <v>180</v>
      </c>
      <c r="T273" s="308"/>
      <c r="V273" s="308"/>
      <c r="W273" s="308"/>
      <c r="X273" s="307" t="str">
        <f>VLOOKUP(功能_33[[#This Row],[User]],SKL放款!A:G,7,FALSE)</f>
        <v>放款服務課</v>
      </c>
      <c r="Y273" s="228">
        <f>IF(功能_33[[#This Row],[實際展示]]="","",功能_33[[#This Row],[實際展示]]+14)</f>
        <v>44503</v>
      </c>
      <c r="Z273" s="226" t="s">
        <v>2808</v>
      </c>
      <c r="AA273" s="226"/>
      <c r="AB273" s="226"/>
      <c r="AC273" s="226"/>
      <c r="AD273" s="226"/>
      <c r="AE273" s="226"/>
      <c r="AF273" s="355"/>
      <c r="AG273" s="226" t="str">
        <f>IFERROR(IF(VLOOKUP(功能_33[[#This Row],[功能代號]],E:Q,11,FALSE)=0,"",VLOOKUP(功能_33[[#This Row],[功能代號]],E:Q,11,FALSE)),"")</f>
        <v>陳政皓</v>
      </c>
      <c r="AH273" s="226"/>
      <c r="AI273" s="226"/>
      <c r="AJ273" s="307"/>
      <c r="AK273" s="226"/>
      <c r="AL273" s="308" t="s">
        <v>2848</v>
      </c>
      <c r="AN273" s="307" t="str">
        <f>VLOOKUP(功能_33[[#This Row],[功能代號]],工作表2!B:B,1,FALSE)</f>
        <v>L6031</v>
      </c>
    </row>
    <row r="274" spans="1:40" ht="14.25" customHeight="1">
      <c r="A274" s="224">
        <v>310</v>
      </c>
      <c r="B274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4" s="307" t="s">
        <v>106</v>
      </c>
      <c r="D274" s="307" t="s">
        <v>843</v>
      </c>
      <c r="E274" s="308" t="s">
        <v>846</v>
      </c>
      <c r="F274" s="307" t="s">
        <v>847</v>
      </c>
      <c r="G274" s="307"/>
      <c r="H274" s="308" t="s">
        <v>203</v>
      </c>
      <c r="I274" s="308" t="s">
        <v>330</v>
      </c>
      <c r="J274" s="229" t="s">
        <v>2843</v>
      </c>
      <c r="K274" s="226">
        <v>44489</v>
      </c>
      <c r="L274" s="226">
        <v>44489</v>
      </c>
      <c r="M274" s="226">
        <f>IFERROR(IF(VLOOKUP(功能_33[[#This Row],[功能代號]],討論項目!A:H,8,FALSE)=0,"",VLOOKUP(功能_33[[#This Row],[功能代號]],討論項目!A:H,8,FALSE)),"")</f>
        <v>44494</v>
      </c>
      <c r="N274" s="308" t="s">
        <v>12</v>
      </c>
      <c r="O274" s="308" t="s">
        <v>180</v>
      </c>
      <c r="T274" s="308"/>
      <c r="V274" s="308"/>
      <c r="W274" s="308"/>
      <c r="X274" s="307" t="str">
        <f>VLOOKUP(功能_33[[#This Row],[User]],SKL放款!A:G,7,FALSE)</f>
        <v>放款服務課</v>
      </c>
      <c r="Y274" s="228">
        <f>IF(功能_33[[#This Row],[實際展示]]="","",功能_33[[#This Row],[實際展示]]+14)</f>
        <v>44503</v>
      </c>
      <c r="Z274" s="226" t="s">
        <v>2808</v>
      </c>
      <c r="AA274" s="226"/>
      <c r="AB274" s="226"/>
      <c r="AC274" s="226"/>
      <c r="AD274" s="226"/>
      <c r="AE274" s="226"/>
      <c r="AF274" s="355"/>
      <c r="AG274" s="226" t="str">
        <f>IFERROR(IF(VLOOKUP(功能_33[[#This Row],[功能代號]],E:Q,11,FALSE)=0,"",VLOOKUP(功能_33[[#This Row],[功能代號]],E:Q,11,FALSE)),"")</f>
        <v>陳政皓</v>
      </c>
      <c r="AH274" s="226"/>
      <c r="AI274" s="226"/>
      <c r="AJ274" s="307"/>
      <c r="AK274" s="226"/>
      <c r="AL274" s="308" t="s">
        <v>2848</v>
      </c>
      <c r="AN274" s="307" t="str">
        <f>VLOOKUP(功能_33[[#This Row],[功能代號]],工作表2!B:B,1,FALSE)</f>
        <v>L6032</v>
      </c>
    </row>
    <row r="275" spans="1:40" ht="14.25" customHeight="1">
      <c r="A275" s="224">
        <v>311</v>
      </c>
      <c r="B27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07" t="s">
        <v>106</v>
      </c>
      <c r="D275" s="307" t="s">
        <v>843</v>
      </c>
      <c r="E275" s="308" t="s">
        <v>848</v>
      </c>
      <c r="F275" s="307" t="s">
        <v>849</v>
      </c>
      <c r="G275" s="307"/>
      <c r="H275" s="308" t="s">
        <v>203</v>
      </c>
      <c r="I275" s="308" t="s">
        <v>330</v>
      </c>
      <c r="J275" s="229" t="s">
        <v>2843</v>
      </c>
      <c r="K275" s="226">
        <v>44489</v>
      </c>
      <c r="L275" s="226">
        <v>44489</v>
      </c>
      <c r="M275" s="226">
        <f>IFERROR(IF(VLOOKUP(功能_33[[#This Row],[功能代號]],討論項目!A:H,8,FALSE)=0,"",VLOOKUP(功能_33[[#This Row],[功能代號]],討論項目!A:H,8,FALSE)),"")</f>
        <v>44435</v>
      </c>
      <c r="N275" s="308" t="s">
        <v>12</v>
      </c>
      <c r="O275" s="308" t="s">
        <v>180</v>
      </c>
      <c r="T275" s="308"/>
      <c r="V275" s="308"/>
      <c r="W275" s="308"/>
      <c r="X275" s="307" t="str">
        <f>VLOOKUP(功能_33[[#This Row],[User]],SKL放款!A:G,7,FALSE)</f>
        <v>放款服務課</v>
      </c>
      <c r="Y275" s="228">
        <f>IF(功能_33[[#This Row],[實際展示]]="","",功能_33[[#This Row],[實際展示]]+14)</f>
        <v>44503</v>
      </c>
      <c r="Z275" s="226" t="s">
        <v>2808</v>
      </c>
      <c r="AA275" s="226"/>
      <c r="AB275" s="226"/>
      <c r="AC275" s="226"/>
      <c r="AD275" s="226"/>
      <c r="AE275" s="226"/>
      <c r="AF275" s="355"/>
      <c r="AG275" s="226" t="str">
        <f>IFERROR(IF(VLOOKUP(功能_33[[#This Row],[功能代號]],E:Q,11,FALSE)=0,"",VLOOKUP(功能_33[[#This Row],[功能代號]],E:Q,11,FALSE)),"")</f>
        <v>陳政皓</v>
      </c>
      <c r="AH275" s="226"/>
      <c r="AI275" s="226"/>
      <c r="AJ275" s="307"/>
      <c r="AK275" s="226"/>
      <c r="AL275" s="308" t="s">
        <v>2848</v>
      </c>
      <c r="AN275" s="307" t="str">
        <f>VLOOKUP(功能_33[[#This Row],[功能代號]],工作表2!B:B,1,FALSE)</f>
        <v>L6301</v>
      </c>
    </row>
    <row r="276" spans="1:40" ht="14.25" customHeight="1">
      <c r="A276" s="224">
        <v>312</v>
      </c>
      <c r="B2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6" s="307" t="s">
        <v>106</v>
      </c>
      <c r="D276" s="307" t="s">
        <v>843</v>
      </c>
      <c r="E276" s="308" t="s">
        <v>850</v>
      </c>
      <c r="F276" s="307" t="s">
        <v>851</v>
      </c>
      <c r="G276" s="307"/>
      <c r="H276" s="308" t="s">
        <v>203</v>
      </c>
      <c r="I276" s="308" t="s">
        <v>330</v>
      </c>
      <c r="J276" s="229" t="s">
        <v>2843</v>
      </c>
      <c r="K276" s="226">
        <v>44489</v>
      </c>
      <c r="L276" s="226">
        <v>44489</v>
      </c>
      <c r="M276" s="226">
        <f>IFERROR(IF(VLOOKUP(功能_33[[#This Row],[功能代號]],討論項目!A:H,8,FALSE)=0,"",VLOOKUP(功能_33[[#This Row],[功能代號]],討論項目!A:H,8,FALSE)),"")</f>
        <v>44428</v>
      </c>
      <c r="N276" s="308" t="s">
        <v>12</v>
      </c>
      <c r="O276" s="308" t="s">
        <v>180</v>
      </c>
      <c r="T276" s="308"/>
      <c r="V276" s="308"/>
      <c r="W276" s="308"/>
      <c r="X276" s="307" t="str">
        <f>VLOOKUP(功能_33[[#This Row],[User]],SKL放款!A:G,7,FALSE)</f>
        <v>放款服務課</v>
      </c>
      <c r="Y276" s="228">
        <f>IF(功能_33[[#This Row],[實際展示]]="","",功能_33[[#This Row],[實際展示]]+14)</f>
        <v>44503</v>
      </c>
      <c r="Z276" s="226" t="s">
        <v>2808</v>
      </c>
      <c r="AA276" s="226"/>
      <c r="AB276" s="226"/>
      <c r="AC276" s="226"/>
      <c r="AD276" s="226"/>
      <c r="AE276" s="226"/>
      <c r="AF276" s="355"/>
      <c r="AG276" s="226" t="str">
        <f>IFERROR(IF(VLOOKUP(功能_33[[#This Row],[功能代號]],E:Q,11,FALSE)=0,"",VLOOKUP(功能_33[[#This Row],[功能代號]],E:Q,11,FALSE)),"")</f>
        <v>陳政皓</v>
      </c>
      <c r="AH276" s="226"/>
      <c r="AI276" s="226"/>
      <c r="AJ276" s="307"/>
      <c r="AK276" s="226"/>
      <c r="AL276" s="308" t="s">
        <v>2848</v>
      </c>
      <c r="AN276" s="307" t="str">
        <f>VLOOKUP(功能_33[[#This Row],[功能代號]],工作表2!B:B,1,FALSE)</f>
        <v>L6302</v>
      </c>
    </row>
    <row r="277" spans="1:40" ht="14.25" hidden="1" customHeight="1">
      <c r="A277" s="224"/>
      <c r="B27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07" t="s">
        <v>102</v>
      </c>
      <c r="D277" s="230"/>
      <c r="E277" s="308" t="s">
        <v>852</v>
      </c>
      <c r="F277" s="307" t="s">
        <v>853</v>
      </c>
      <c r="G277" s="307" t="s">
        <v>678</v>
      </c>
      <c r="H277" s="308" t="s">
        <v>203</v>
      </c>
      <c r="I277" s="308" t="s">
        <v>239</v>
      </c>
      <c r="J277" s="229"/>
      <c r="K277" s="226">
        <v>44494</v>
      </c>
      <c r="L277" s="226">
        <v>44494</v>
      </c>
      <c r="M277" s="226"/>
      <c r="N277" s="308" t="s">
        <v>12</v>
      </c>
      <c r="O277" s="308" t="s">
        <v>14</v>
      </c>
      <c r="P277" s="277" t="s">
        <v>854</v>
      </c>
      <c r="T277" s="308"/>
      <c r="V277" s="308"/>
      <c r="W277" s="308"/>
      <c r="Y277" s="228"/>
      <c r="Z277" s="226" t="s">
        <v>205</v>
      </c>
      <c r="AA277" s="226">
        <v>44477</v>
      </c>
      <c r="AB277" s="226">
        <v>44477</v>
      </c>
      <c r="AC277" s="226"/>
      <c r="AD277" s="226" t="s">
        <v>198</v>
      </c>
      <c r="AE277" s="226"/>
      <c r="AF277" s="355"/>
      <c r="AG277" s="226" t="str">
        <f>IFERROR(IF(VLOOKUP(功能_33[[#This Row],[功能代號]],E:Q,11,FALSE)=0,"",VLOOKUP(功能_33[[#This Row],[功能代號]],E:Q,11,FALSE)),"")</f>
        <v>張舜雯</v>
      </c>
      <c r="AH277" s="226"/>
      <c r="AI277" s="226"/>
      <c r="AJ277" s="307"/>
      <c r="AL277" s="308">
        <v>227</v>
      </c>
      <c r="AM277" s="307" t="s">
        <v>855</v>
      </c>
      <c r="AN277" s="307" t="e">
        <f>VLOOKUP(功能_33[[#This Row],[功能代號]],工作表2!B:B,1,FALSE)</f>
        <v>#N/A</v>
      </c>
    </row>
    <row r="278" spans="1:40" ht="14.25" hidden="1" customHeight="1">
      <c r="A278" s="224">
        <v>30</v>
      </c>
      <c r="B278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8" s="307" t="s">
        <v>102</v>
      </c>
      <c r="D278" s="307" t="s">
        <v>856</v>
      </c>
      <c r="E278" s="308" t="s">
        <v>857</v>
      </c>
      <c r="F278" s="222" t="s">
        <v>858</v>
      </c>
      <c r="G278" s="307" t="s">
        <v>859</v>
      </c>
      <c r="H278" s="308" t="s">
        <v>203</v>
      </c>
      <c r="I278" s="308" t="s">
        <v>239</v>
      </c>
      <c r="J278" s="229" t="s">
        <v>209</v>
      </c>
      <c r="K278" s="226">
        <v>44494</v>
      </c>
      <c r="L278" s="226">
        <v>44494</v>
      </c>
      <c r="M278" s="226" t="str">
        <f>IFERROR(IF(VLOOKUP(功能_33[[#This Row],[功能代號]],討論項目!A:H,8,FALSE)=0,"",VLOOKUP(功能_33[[#This Row],[功能代號]],討論項目!A:H,8,FALSE)),"")</f>
        <v/>
      </c>
      <c r="N278" s="308" t="s">
        <v>12</v>
      </c>
      <c r="O278" s="308" t="s">
        <v>14</v>
      </c>
      <c r="P278" s="277" t="s">
        <v>854</v>
      </c>
      <c r="T278" s="308"/>
      <c r="V278" s="308"/>
      <c r="W278" s="308"/>
      <c r="X278" s="307" t="str">
        <f>VLOOKUP(功能_33[[#This Row],[User]],SKL放款!A:G,7,FALSE)</f>
        <v>放款管理課</v>
      </c>
      <c r="Y278" s="228">
        <f>IF(功能_33[[#This Row],[實際展示]]="","",功能_33[[#This Row],[實際展示]]+14)</f>
        <v>44508</v>
      </c>
      <c r="Z278" s="226">
        <v>44470</v>
      </c>
      <c r="AA278" s="226">
        <f>IF(功能_33[[#This Row],[URS交二審]]=0,"",功能_33[[#This Row],[URS交二審]]+7)</f>
        <v>44477</v>
      </c>
      <c r="AB278" s="226">
        <f>IF(功能_33[[#This Row],[URS交二審]]=0,"",功能_33[[#This Row],[URS交二審]]+7)</f>
        <v>44477</v>
      </c>
      <c r="AC278" s="226"/>
      <c r="AD278" s="226" t="s">
        <v>198</v>
      </c>
      <c r="AE278" s="226"/>
      <c r="AF278" s="355"/>
      <c r="AG278" s="226" t="str">
        <f>IFERROR(IF(VLOOKUP(功能_33[[#This Row],[功能代號]],E:Q,11,FALSE)=0,"",VLOOKUP(功能_33[[#This Row],[功能代號]],E:Q,11,FALSE)),"")</f>
        <v>張舜雯</v>
      </c>
      <c r="AH278" s="226"/>
      <c r="AI278" s="226"/>
      <c r="AJ278" s="307"/>
      <c r="AL278" s="308">
        <v>227</v>
      </c>
      <c r="AM278" s="307" t="s">
        <v>860</v>
      </c>
      <c r="AN278" s="307" t="str">
        <f>VLOOKUP(功能_33[[#This Row],[功能代號]],工作表2!B:B,1,FALSE)</f>
        <v>L2035</v>
      </c>
    </row>
    <row r="279" spans="1:40" ht="14.25" hidden="1" customHeight="1">
      <c r="A279" s="224"/>
      <c r="B27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307" t="s">
        <v>102</v>
      </c>
      <c r="D279" s="230"/>
      <c r="E279" s="308" t="s">
        <v>861</v>
      </c>
      <c r="F279" s="307" t="s">
        <v>862</v>
      </c>
      <c r="G279" s="307" t="s">
        <v>678</v>
      </c>
      <c r="H279" s="308" t="s">
        <v>203</v>
      </c>
      <c r="I279" s="308" t="s">
        <v>239</v>
      </c>
      <c r="J279" s="229"/>
      <c r="K279" s="226">
        <v>44494</v>
      </c>
      <c r="L279" s="226">
        <v>44494</v>
      </c>
      <c r="M279" s="226" t="str">
        <f>IFERROR(IF(VLOOKUP(功能_33[[#This Row],[功能代號]],討論項目!A:H,8,FALSE)=0,"",VLOOKUP(功能_33[[#This Row],[功能代號]],討論項目!A:H,8,FALSE)),"")</f>
        <v/>
      </c>
      <c r="N279" s="308" t="s">
        <v>12</v>
      </c>
      <c r="O279" s="308" t="s">
        <v>14</v>
      </c>
      <c r="P279" s="277" t="s">
        <v>854</v>
      </c>
      <c r="T279" s="308"/>
      <c r="V279" s="308"/>
      <c r="W279" s="308"/>
      <c r="X279" s="307" t="str">
        <f>VLOOKUP(功能_33[[#This Row],[User]],SKL放款!A:G,7,FALSE)</f>
        <v>放款管理課</v>
      </c>
      <c r="Y279" s="228">
        <f>IF(功能_33[[#This Row],[實際展示]]="","",功能_33[[#This Row],[實際展示]]+14)</f>
        <v>44508</v>
      </c>
      <c r="Z279" s="226" t="s">
        <v>205</v>
      </c>
      <c r="AA279" s="226">
        <v>44477</v>
      </c>
      <c r="AB279" s="226">
        <v>44477</v>
      </c>
      <c r="AC279" s="226"/>
      <c r="AD279" s="226" t="s">
        <v>198</v>
      </c>
      <c r="AE279" s="226"/>
      <c r="AF279" s="355"/>
      <c r="AG279" s="226" t="str">
        <f>IFERROR(IF(VLOOKUP(功能_33[[#This Row],[功能代號]],E:Q,11,FALSE)=0,"",VLOOKUP(功能_33[[#This Row],[功能代號]],E:Q,11,FALSE)),"")</f>
        <v>張舜雯</v>
      </c>
      <c r="AH279" s="226"/>
      <c r="AI279" s="226"/>
      <c r="AJ279" s="307"/>
      <c r="AL279" s="308" t="s">
        <v>199</v>
      </c>
      <c r="AN279" s="307" t="e">
        <f>VLOOKUP(功能_33[[#This Row],[功能代號]],工作表2!B:B,1,FALSE)</f>
        <v>#N/A</v>
      </c>
    </row>
    <row r="280" spans="1:40" ht="14.25" hidden="1" customHeight="1">
      <c r="A280" s="224">
        <v>31</v>
      </c>
      <c r="B28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307" t="s">
        <v>102</v>
      </c>
      <c r="D280" s="307" t="s">
        <v>856</v>
      </c>
      <c r="E280" s="308" t="s">
        <v>863</v>
      </c>
      <c r="F280" s="307" t="s">
        <v>864</v>
      </c>
      <c r="G280" s="307" t="s">
        <v>865</v>
      </c>
      <c r="H280" s="308" t="s">
        <v>203</v>
      </c>
      <c r="I280" s="308" t="s">
        <v>239</v>
      </c>
      <c r="J280" s="229" t="s">
        <v>209</v>
      </c>
      <c r="K280" s="226">
        <v>44494</v>
      </c>
      <c r="L280" s="226">
        <v>44494</v>
      </c>
      <c r="M280" s="226" t="str">
        <f>IFERROR(IF(VLOOKUP(功能_33[[#This Row],[功能代號]],討論項目!A:H,8,FALSE)=0,"",VLOOKUP(功能_33[[#This Row],[功能代號]],討論項目!A:H,8,FALSE)),"")</f>
        <v/>
      </c>
      <c r="N280" s="308" t="s">
        <v>12</v>
      </c>
      <c r="O280" s="308" t="s">
        <v>14</v>
      </c>
      <c r="P280" s="277" t="s">
        <v>854</v>
      </c>
      <c r="T280" s="308"/>
      <c r="V280" s="308"/>
      <c r="W280" s="308"/>
      <c r="X280" s="307" t="str">
        <f>VLOOKUP(功能_33[[#This Row],[User]],SKL放款!A:G,7,FALSE)</f>
        <v>放款管理課</v>
      </c>
      <c r="Y280" s="228">
        <f>IF(功能_33[[#This Row],[實際展示]]="","",功能_33[[#This Row],[實際展示]]+14)</f>
        <v>44508</v>
      </c>
      <c r="Z280" s="226">
        <v>44470</v>
      </c>
      <c r="AA280" s="226">
        <f>IF(功能_33[[#This Row],[URS交二審]]=0,"",功能_33[[#This Row],[URS交二審]]+7)</f>
        <v>44477</v>
      </c>
      <c r="AB280" s="226">
        <f>IF(功能_33[[#This Row],[URS交二審]]=0,"",功能_33[[#This Row],[URS交二審]]+7)</f>
        <v>44477</v>
      </c>
      <c r="AC280" s="226"/>
      <c r="AD280" s="226" t="s">
        <v>198</v>
      </c>
      <c r="AE280" s="226"/>
      <c r="AF280" s="355"/>
      <c r="AG280" s="226" t="str">
        <f>IFERROR(IF(VLOOKUP(功能_33[[#This Row],[功能代號]],E:Q,11,FALSE)=0,"",VLOOKUP(功能_33[[#This Row],[功能代號]],E:Q,11,FALSE)),"")</f>
        <v>張舜雯</v>
      </c>
      <c r="AH280" s="226"/>
      <c r="AI280" s="226"/>
      <c r="AJ280" s="307"/>
      <c r="AL280" s="308">
        <v>227</v>
      </c>
      <c r="AM280" s="307" t="s">
        <v>866</v>
      </c>
      <c r="AN280" s="307" t="str">
        <f>VLOOKUP(功能_33[[#This Row],[功能代號]],工作表2!B:B,1,FALSE)</f>
        <v>L2306</v>
      </c>
    </row>
    <row r="281" spans="1:40" ht="14.25" hidden="1" customHeight="1">
      <c r="A281" s="224"/>
      <c r="B281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1" s="307" t="s">
        <v>102</v>
      </c>
      <c r="D281" s="230"/>
      <c r="E281" s="308" t="s">
        <v>867</v>
      </c>
      <c r="F281" s="307" t="s">
        <v>868</v>
      </c>
      <c r="G281" s="307" t="s">
        <v>678</v>
      </c>
      <c r="H281" s="308" t="s">
        <v>147</v>
      </c>
      <c r="I281" s="308" t="s">
        <v>239</v>
      </c>
      <c r="J281" s="229"/>
      <c r="K281" s="226">
        <v>44494</v>
      </c>
      <c r="L281" s="226">
        <v>44494</v>
      </c>
      <c r="M281" s="226" t="str">
        <f>IFERROR(IF(VLOOKUP(功能_33[[#This Row],[功能代號]],討論項目!A:H,8,FALSE)=0,"",VLOOKUP(功能_33[[#This Row],[功能代號]],討論項目!A:H,8,FALSE)),"")</f>
        <v/>
      </c>
      <c r="N281" s="308" t="s">
        <v>12</v>
      </c>
      <c r="O281" s="308" t="s">
        <v>14</v>
      </c>
      <c r="P281" s="277" t="s">
        <v>854</v>
      </c>
      <c r="T281" s="308"/>
      <c r="V281" s="308"/>
      <c r="W281" s="308"/>
      <c r="X281" s="307" t="str">
        <f>VLOOKUP(功能_33[[#This Row],[User]],SKL放款!A:G,7,FALSE)</f>
        <v>放款管理課</v>
      </c>
      <c r="Y281" s="228">
        <f>IF(功能_33[[#This Row],[實際展示]]="","",功能_33[[#This Row],[實際展示]]+14)</f>
        <v>44508</v>
      </c>
      <c r="Z281" s="226" t="s">
        <v>205</v>
      </c>
      <c r="AA281" s="226">
        <v>44477</v>
      </c>
      <c r="AB281" s="226">
        <v>44477</v>
      </c>
      <c r="AC281" s="226"/>
      <c r="AD281" s="226" t="s">
        <v>198</v>
      </c>
      <c r="AE281" s="226"/>
      <c r="AF281" s="355"/>
      <c r="AG281" s="226" t="str">
        <f>IFERROR(IF(VLOOKUP(功能_33[[#This Row],[功能代號]],E:Q,11,FALSE)=0,"",VLOOKUP(功能_33[[#This Row],[功能代號]],E:Q,11,FALSE)),"")</f>
        <v>張舜雯</v>
      </c>
      <c r="AH281" s="226"/>
      <c r="AI281" s="226"/>
      <c r="AJ281" s="307"/>
      <c r="AL281" s="308" t="s">
        <v>199</v>
      </c>
      <c r="AN281" s="307" t="e">
        <f>VLOOKUP(功能_33[[#This Row],[功能代號]],工作表2!B:B,1,FALSE)</f>
        <v>#N/A</v>
      </c>
    </row>
    <row r="282" spans="1:40" ht="14.25" hidden="1" customHeight="1">
      <c r="A282" s="224"/>
      <c r="B28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307" t="s">
        <v>102</v>
      </c>
      <c r="D282" s="230"/>
      <c r="E282" s="308" t="s">
        <v>869</v>
      </c>
      <c r="F282" s="307" t="s">
        <v>870</v>
      </c>
      <c r="G282" s="307" t="s">
        <v>871</v>
      </c>
      <c r="H282" s="308" t="s">
        <v>147</v>
      </c>
      <c r="I282" s="308" t="s">
        <v>239</v>
      </c>
      <c r="J282" s="229"/>
      <c r="K282" s="226">
        <v>44494</v>
      </c>
      <c r="L282" s="226">
        <v>44494</v>
      </c>
      <c r="M282" s="226" t="str">
        <f>IFERROR(IF(VLOOKUP(功能_33[[#This Row],[功能代號]],討論項目!A:H,8,FALSE)=0,"",VLOOKUP(功能_33[[#This Row],[功能代號]],討論項目!A:H,8,FALSE)),"")</f>
        <v/>
      </c>
      <c r="N282" s="308" t="s">
        <v>12</v>
      </c>
      <c r="O282" s="308" t="s">
        <v>14</v>
      </c>
      <c r="P282" s="277" t="s">
        <v>854</v>
      </c>
      <c r="T282" s="308"/>
      <c r="V282" s="308"/>
      <c r="W282" s="308"/>
      <c r="X282" s="307" t="str">
        <f>VLOOKUP(功能_33[[#This Row],[User]],SKL放款!A:G,7,FALSE)</f>
        <v>放款管理課</v>
      </c>
      <c r="Y282" s="228">
        <f>IF(功能_33[[#This Row],[實際展示]]="","",功能_33[[#This Row],[實際展示]]+14)</f>
        <v>44508</v>
      </c>
      <c r="Z282" s="226" t="s">
        <v>2808</v>
      </c>
      <c r="AA282" s="226"/>
      <c r="AB282" s="226"/>
      <c r="AC282" s="226"/>
      <c r="AD282" s="226"/>
      <c r="AE282" s="226"/>
      <c r="AF282" s="355"/>
      <c r="AG282" s="226" t="str">
        <f>IFERROR(IF(VLOOKUP(功能_33[[#This Row],[功能代號]],E:Q,11,FALSE)=0,"",VLOOKUP(功能_33[[#This Row],[功能代號]],E:Q,11,FALSE)),"")</f>
        <v>張舜雯</v>
      </c>
      <c r="AH282" s="226"/>
      <c r="AI282" s="226"/>
      <c r="AJ282" s="307"/>
      <c r="AL282" s="308" t="s">
        <v>199</v>
      </c>
      <c r="AN282" s="307" t="str">
        <f>VLOOKUP(功能_33[[#This Row],[功能代號]],工作表2!B:B,1,FALSE)</f>
        <v>L2023</v>
      </c>
    </row>
    <row r="283" spans="1:40" ht="14.25" hidden="1" customHeight="1">
      <c r="A283" s="224"/>
      <c r="B28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3" s="307" t="s">
        <v>102</v>
      </c>
      <c r="D283" s="230"/>
      <c r="E283" s="308" t="s">
        <v>872</v>
      </c>
      <c r="F283" s="222" t="s">
        <v>873</v>
      </c>
      <c r="G283" s="307" t="s">
        <v>678</v>
      </c>
      <c r="H283" s="308" t="s">
        <v>147</v>
      </c>
      <c r="I283" s="308" t="s">
        <v>239</v>
      </c>
      <c r="J283" s="229"/>
      <c r="K283" s="226">
        <v>44494</v>
      </c>
      <c r="L283" s="226">
        <v>44494</v>
      </c>
      <c r="M283" s="226" t="str">
        <f>IFERROR(IF(VLOOKUP(功能_33[[#This Row],[功能代號]],討論項目!A:H,8,FALSE)=0,"",VLOOKUP(功能_33[[#This Row],[功能代號]],討論項目!A:H,8,FALSE)),"")</f>
        <v/>
      </c>
      <c r="N283" s="308" t="s">
        <v>12</v>
      </c>
      <c r="O283" s="308" t="s">
        <v>13</v>
      </c>
      <c r="P283" s="277" t="s">
        <v>874</v>
      </c>
      <c r="T283" s="308"/>
      <c r="V283" s="308"/>
      <c r="W283" s="308"/>
      <c r="X283" s="307" t="str">
        <f>VLOOKUP(功能_33[[#This Row],[User]],SKL放款!A:G,7,FALSE)</f>
        <v>放款推展課</v>
      </c>
      <c r="Y283" s="228">
        <f>IF(功能_33[[#This Row],[實際展示]]="","",功能_33[[#This Row],[實際展示]]+14)</f>
        <v>44508</v>
      </c>
      <c r="Z283" s="226" t="s">
        <v>213</v>
      </c>
      <c r="AA283" s="226"/>
      <c r="AB283" s="226"/>
      <c r="AC283" s="226"/>
      <c r="AD283" s="226"/>
      <c r="AE283" s="226"/>
      <c r="AF283" s="355"/>
      <c r="AG283" s="226" t="str">
        <f>IFERROR(IF(VLOOKUP(功能_33[[#This Row],[功能代號]],E:Q,11,FALSE)=0,"",VLOOKUP(功能_33[[#This Row],[功能代號]],E:Q,11,FALSE)),"")</f>
        <v>李珮君</v>
      </c>
      <c r="AH283" s="226"/>
      <c r="AI283" s="226"/>
      <c r="AJ283" s="307"/>
      <c r="AL283" s="308" t="s">
        <v>199</v>
      </c>
      <c r="AN283" s="307" t="str">
        <f>VLOOKUP(功能_33[[#This Row],[功能代號]],工作表2!B:B,1,FALSE)</f>
        <v>L2222</v>
      </c>
    </row>
    <row r="284" spans="1:40" ht="14.25" hidden="1" customHeight="1">
      <c r="A284" s="224">
        <v>169</v>
      </c>
      <c r="B284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4" s="307" t="s">
        <v>102</v>
      </c>
      <c r="D284" s="307"/>
      <c r="E284" s="308" t="s">
        <v>875</v>
      </c>
      <c r="F284" s="307" t="s">
        <v>876</v>
      </c>
      <c r="G284" s="307"/>
      <c r="H284" s="308" t="s">
        <v>203</v>
      </c>
      <c r="I284" s="308" t="s">
        <v>239</v>
      </c>
      <c r="J284" s="229"/>
      <c r="K284" s="226">
        <v>44494</v>
      </c>
      <c r="L284" s="226">
        <v>44494</v>
      </c>
      <c r="M284" s="226" t="str">
        <f>IFERROR(IF(VLOOKUP(功能_33[[#This Row],[功能代號]],討論項目!A:H,8,FALSE)=0,"",VLOOKUP(功能_33[[#This Row],[功能代號]],討論項目!A:H,8,FALSE)),"")</f>
        <v/>
      </c>
      <c r="N284" s="308" t="s">
        <v>10</v>
      </c>
      <c r="O284" s="308" t="s">
        <v>13</v>
      </c>
      <c r="T284" s="308"/>
      <c r="V284" s="308"/>
      <c r="W284" s="308"/>
      <c r="X284" s="307" t="str">
        <f>VLOOKUP(功能_33[[#This Row],[User]],SKL放款!A:G,7,FALSE)</f>
        <v>放款推展課</v>
      </c>
      <c r="Y284" s="228">
        <f>IF(功能_33[[#This Row],[實際展示]]="","",功能_33[[#This Row],[實際展示]]+14)</f>
        <v>44508</v>
      </c>
      <c r="Z284" s="226" t="s">
        <v>205</v>
      </c>
      <c r="AA284" s="226">
        <v>44477</v>
      </c>
      <c r="AB284" s="226">
        <v>44477</v>
      </c>
      <c r="AC284" s="226"/>
      <c r="AD284" s="226" t="s">
        <v>198</v>
      </c>
      <c r="AE284" s="226"/>
      <c r="AF284" s="355"/>
      <c r="AG284" s="226" t="str">
        <f>IFERROR(IF(VLOOKUP(功能_33[[#This Row],[功能代號]],E:Q,11,FALSE)=0,"",VLOOKUP(功能_33[[#This Row],[功能代號]],E:Q,11,FALSE)),"")</f>
        <v>李珮君</v>
      </c>
      <c r="AH284" s="226"/>
      <c r="AI284" s="226"/>
      <c r="AJ284" s="307"/>
      <c r="AK284" s="226"/>
      <c r="AL284" s="308">
        <v>217</v>
      </c>
      <c r="AM284" s="307" t="s">
        <v>877</v>
      </c>
      <c r="AN284" s="307" t="e">
        <f>VLOOKUP(功能_33[[#This Row],[功能代號]],工作表2!B:B,1,FALSE)</f>
        <v>#N/A</v>
      </c>
    </row>
    <row r="285" spans="1:40" ht="14.25" hidden="1" customHeight="1">
      <c r="A285" s="224">
        <v>187</v>
      </c>
      <c r="B285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5" s="307" t="s">
        <v>102</v>
      </c>
      <c r="D285" s="307"/>
      <c r="E285" s="308" t="s">
        <v>878</v>
      </c>
      <c r="F285" s="277" t="s">
        <v>879</v>
      </c>
      <c r="G285" s="277"/>
      <c r="H285" s="308" t="s">
        <v>203</v>
      </c>
      <c r="I285" s="308" t="s">
        <v>239</v>
      </c>
      <c r="J285" s="229"/>
      <c r="K285" s="226">
        <v>44494</v>
      </c>
      <c r="L285" s="226">
        <v>44490</v>
      </c>
      <c r="M285" s="226">
        <f>IFERROR(IF(VLOOKUP(功能_33[[#This Row],[功能代號]],討論項目!A:H,8,FALSE)=0,"",VLOOKUP(功能_33[[#This Row],[功能代號]],討論項目!A:H,8,FALSE)),"")</f>
        <v>44490</v>
      </c>
      <c r="N285" s="308" t="s">
        <v>7</v>
      </c>
      <c r="O285" s="308" t="s">
        <v>180</v>
      </c>
      <c r="T285" s="308"/>
      <c r="V285" s="308"/>
      <c r="W285" s="308"/>
      <c r="X285" s="307" t="str">
        <f>VLOOKUP(功能_33[[#This Row],[User]],SKL放款!A:G,7,FALSE)</f>
        <v>放款服務課</v>
      </c>
      <c r="Y285" s="228">
        <f>IF(功能_33[[#This Row],[實際展示]]="","",功能_33[[#This Row],[實際展示]]+14)</f>
        <v>44504</v>
      </c>
      <c r="Z285" s="226" t="s">
        <v>213</v>
      </c>
      <c r="AA285" s="226"/>
      <c r="AB285" s="226"/>
      <c r="AC285" s="226"/>
      <c r="AD285" s="226"/>
      <c r="AE285" s="226"/>
      <c r="AF285" s="355"/>
      <c r="AG285" s="226" t="str">
        <f>IFERROR(IF(VLOOKUP(功能_33[[#This Row],[功能代號]],E:Q,11,FALSE)=0,"",VLOOKUP(功能_33[[#This Row],[功能代號]],E:Q,11,FALSE)),"")</f>
        <v>陳政皓</v>
      </c>
      <c r="AH285" s="226"/>
      <c r="AI285" s="226"/>
      <c r="AJ285" s="307"/>
      <c r="AK285" s="226"/>
      <c r="AL285" s="308" t="s">
        <v>199</v>
      </c>
      <c r="AN285" s="307" t="str">
        <f>VLOOKUP(功能_33[[#This Row],[功能代號]],工作表2!B:B,1,FALSE)</f>
        <v>L2980</v>
      </c>
    </row>
    <row r="286" spans="1:40" ht="14.25" hidden="1" customHeight="1">
      <c r="A286" s="224">
        <v>188</v>
      </c>
      <c r="B286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6" s="307" t="s">
        <v>102</v>
      </c>
      <c r="D286" s="307" t="s">
        <v>880</v>
      </c>
      <c r="E286" s="308" t="s">
        <v>881</v>
      </c>
      <c r="F286" s="307" t="s">
        <v>882</v>
      </c>
      <c r="G286" s="307"/>
      <c r="H286" s="308" t="s">
        <v>203</v>
      </c>
      <c r="I286" s="308" t="s">
        <v>239</v>
      </c>
      <c r="J286" s="229"/>
      <c r="K286" s="226">
        <v>44494</v>
      </c>
      <c r="L286" s="226">
        <v>44494</v>
      </c>
      <c r="M286" s="226" t="str">
        <f>IFERROR(IF(VLOOKUP(功能_33[[#This Row],[功能代號]],討論項目!A:H,8,FALSE)=0,"",VLOOKUP(功能_33[[#This Row],[功能代號]],討論項目!A:H,8,FALSE)),"")</f>
        <v/>
      </c>
      <c r="N286" s="308" t="s">
        <v>12</v>
      </c>
      <c r="O286" s="308" t="s">
        <v>180</v>
      </c>
      <c r="T286" s="308"/>
      <c r="V286" s="308"/>
      <c r="W286" s="308"/>
      <c r="X286" s="307" t="str">
        <f>VLOOKUP(功能_33[[#This Row],[User]],SKL放款!A:G,7,FALSE)</f>
        <v>放款服務課</v>
      </c>
      <c r="Y286" s="228">
        <f>IF(功能_33[[#This Row],[實際展示]]="","",功能_33[[#This Row],[實際展示]]+14)</f>
        <v>44508</v>
      </c>
      <c r="Z286" s="226" t="s">
        <v>205</v>
      </c>
      <c r="AA286" s="226">
        <v>44477</v>
      </c>
      <c r="AB286" s="226">
        <v>44477</v>
      </c>
      <c r="AC286" s="226"/>
      <c r="AD286" s="226" t="s">
        <v>198</v>
      </c>
      <c r="AE286" s="226"/>
      <c r="AF286" s="355"/>
      <c r="AG286" s="226" t="str">
        <f>IFERROR(IF(VLOOKUP(功能_33[[#This Row],[功能代號]],E:Q,11,FALSE)=0,"",VLOOKUP(功能_33[[#This Row],[功能代號]],E:Q,11,FALSE)),"")</f>
        <v>陳政皓</v>
      </c>
      <c r="AH286" s="226"/>
      <c r="AI286" s="226"/>
      <c r="AJ286" s="307"/>
      <c r="AK286" s="226"/>
      <c r="AL286" s="308">
        <v>210</v>
      </c>
      <c r="AM286" s="307" t="s">
        <v>883</v>
      </c>
      <c r="AN286" s="307" t="e">
        <f>VLOOKUP(功能_33[[#This Row],[功能代號]],工作表2!B:B,1,FALSE)</f>
        <v>#N/A</v>
      </c>
    </row>
    <row r="287" spans="1:40" ht="14.25" hidden="1" customHeight="1">
      <c r="A287" s="224">
        <v>189</v>
      </c>
      <c r="B28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07" t="s">
        <v>102</v>
      </c>
      <c r="D287" s="307" t="s">
        <v>880</v>
      </c>
      <c r="E287" s="308" t="s">
        <v>884</v>
      </c>
      <c r="F287" s="307" t="s">
        <v>885</v>
      </c>
      <c r="G287" s="307"/>
      <c r="H287" s="308" t="s">
        <v>203</v>
      </c>
      <c r="I287" s="308" t="s">
        <v>239</v>
      </c>
      <c r="J287" s="229"/>
      <c r="K287" s="226">
        <v>44494</v>
      </c>
      <c r="L287" s="226">
        <v>44494</v>
      </c>
      <c r="M287" s="226">
        <f>IFERROR(IF(VLOOKUP(功能_33[[#This Row],[功能代號]],討論項目!A:H,8,FALSE)=0,"",VLOOKUP(功能_33[[#This Row],[功能代號]],討論項目!A:H,8,FALSE)),"")</f>
        <v>44494</v>
      </c>
      <c r="N287" s="308" t="s">
        <v>12</v>
      </c>
      <c r="O287" s="308" t="s">
        <v>180</v>
      </c>
      <c r="T287" s="308"/>
      <c r="V287" s="308"/>
      <c r="W287" s="308"/>
      <c r="X287" s="307" t="str">
        <f>VLOOKUP(功能_33[[#This Row],[User]],SKL放款!A:G,7,FALSE)</f>
        <v>放款服務課</v>
      </c>
      <c r="Y287" s="228">
        <f>IF(功能_33[[#This Row],[實際展示]]="","",功能_33[[#This Row],[實際展示]]+14)</f>
        <v>44508</v>
      </c>
      <c r="Z287" s="226" t="s">
        <v>213</v>
      </c>
      <c r="AA287" s="226"/>
      <c r="AB287" s="226"/>
      <c r="AC287" s="226"/>
      <c r="AD287" s="226"/>
      <c r="AE287" s="226"/>
      <c r="AF287" s="355"/>
      <c r="AG287" s="226" t="str">
        <f>IFERROR(IF(VLOOKUP(功能_33[[#This Row],[功能代號]],E:Q,11,FALSE)=0,"",VLOOKUP(功能_33[[#This Row],[功能代號]],E:Q,11,FALSE)),"")</f>
        <v>陳政皓</v>
      </c>
      <c r="AH287" s="226"/>
      <c r="AI287" s="226"/>
      <c r="AJ287" s="307"/>
      <c r="AK287" s="226"/>
      <c r="AL287" s="308">
        <v>231</v>
      </c>
      <c r="AM287" s="307" t="s">
        <v>886</v>
      </c>
      <c r="AN287" s="307" t="str">
        <f>VLOOKUP(功能_33[[#This Row],[功能代號]],工作表2!B:B,1,FALSE)</f>
        <v>L2703</v>
      </c>
    </row>
    <row r="288" spans="1:40" ht="14.25" hidden="1" customHeight="1">
      <c r="A288" s="224">
        <v>170</v>
      </c>
      <c r="B288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8" s="307" t="s">
        <v>102</v>
      </c>
      <c r="D288" s="307" t="s">
        <v>887</v>
      </c>
      <c r="E288" s="308" t="s">
        <v>888</v>
      </c>
      <c r="F288" s="307" t="s">
        <v>889</v>
      </c>
      <c r="G288" s="307"/>
      <c r="H288" s="308" t="s">
        <v>203</v>
      </c>
      <c r="I288" s="308" t="s">
        <v>239</v>
      </c>
      <c r="J288" s="229"/>
      <c r="K288" s="226">
        <v>44494</v>
      </c>
      <c r="L288" s="226">
        <v>44494</v>
      </c>
      <c r="M288" s="226">
        <f>IFERROR(IF(VLOOKUP(功能_33[[#This Row],[功能代號]],討論項目!A:H,8,FALSE)=0,"",VLOOKUP(功能_33[[#This Row],[功能代號]],討論項目!A:H,8,FALSE)),"")</f>
        <v>44494</v>
      </c>
      <c r="N288" s="308" t="s">
        <v>10</v>
      </c>
      <c r="O288" s="308" t="s">
        <v>25</v>
      </c>
      <c r="P288" s="277" t="s">
        <v>874</v>
      </c>
      <c r="T288" s="308"/>
      <c r="V288" s="308"/>
      <c r="W288" s="308"/>
      <c r="X288" s="307" t="str">
        <f>VLOOKUP(功能_33[[#This Row],[User]],SKL放款!A:G,7,FALSE)</f>
        <v>放款管理課</v>
      </c>
      <c r="Y288" s="228">
        <f>IF(功能_33[[#This Row],[實際展示]]="","",功能_33[[#This Row],[實際展示]]+14)</f>
        <v>44508</v>
      </c>
      <c r="Z288" s="226" t="s">
        <v>213</v>
      </c>
      <c r="AA288" s="226"/>
      <c r="AB288" s="226"/>
      <c r="AC288" s="226"/>
      <c r="AD288" s="226"/>
      <c r="AE288" s="226"/>
      <c r="AF288" s="355"/>
      <c r="AG288" s="226" t="str">
        <f>IFERROR(IF(VLOOKUP(功能_33[[#This Row],[功能代號]],E:Q,11,FALSE)=0,"",VLOOKUP(功能_33[[#This Row],[功能代號]],E:Q,11,FALSE)),"")</f>
        <v>邱怡婷</v>
      </c>
      <c r="AH288" s="226"/>
      <c r="AI288" s="226"/>
      <c r="AJ288" s="307"/>
      <c r="AK288" s="226"/>
      <c r="AL288" s="308" t="s">
        <v>199</v>
      </c>
      <c r="AN288" s="307" t="str">
        <f>VLOOKUP(功能_33[[#This Row],[功能代號]],工作表2!B:B,1,FALSE)</f>
        <v>L2039</v>
      </c>
    </row>
    <row r="289" spans="1:40" ht="14.25" hidden="1" customHeight="1">
      <c r="A289" s="224">
        <v>171</v>
      </c>
      <c r="B28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07" t="s">
        <v>102</v>
      </c>
      <c r="D289" s="307" t="s">
        <v>890</v>
      </c>
      <c r="E289" s="308" t="s">
        <v>891</v>
      </c>
      <c r="F289" s="307" t="s">
        <v>892</v>
      </c>
      <c r="G289" s="307"/>
      <c r="H289" s="308" t="s">
        <v>203</v>
      </c>
      <c r="I289" s="308" t="s">
        <v>239</v>
      </c>
      <c r="J289" s="229"/>
      <c r="K289" s="226">
        <v>44494</v>
      </c>
      <c r="L289" s="226">
        <v>44494</v>
      </c>
      <c r="M289" s="226">
        <f>IFERROR(IF(VLOOKUP(功能_33[[#This Row],[功能代號]],討論項目!A:H,8,FALSE)=0,"",VLOOKUP(功能_33[[#This Row],[功能代號]],討論項目!A:H,8,FALSE)),"")</f>
        <v>44494</v>
      </c>
      <c r="N289" s="308" t="s">
        <v>10</v>
      </c>
      <c r="O289" s="308" t="s">
        <v>25</v>
      </c>
      <c r="P289" s="277" t="s">
        <v>874</v>
      </c>
      <c r="T289" s="308"/>
      <c r="V289" s="308"/>
      <c r="W289" s="308"/>
      <c r="X289" s="307" t="str">
        <f>VLOOKUP(功能_33[[#This Row],[User]],SKL放款!A:G,7,FALSE)</f>
        <v>放款管理課</v>
      </c>
      <c r="Y289" s="228">
        <f>IF(功能_33[[#This Row],[實際展示]]="","",功能_33[[#This Row],[實際展示]]+14)</f>
        <v>44508</v>
      </c>
      <c r="Z289" s="226" t="s">
        <v>213</v>
      </c>
      <c r="AA289" s="226"/>
      <c r="AB289" s="226"/>
      <c r="AC289" s="226"/>
      <c r="AD289" s="226"/>
      <c r="AE289" s="226"/>
      <c r="AF289" s="355"/>
      <c r="AG289" s="226" t="str">
        <f>IFERROR(IF(VLOOKUP(功能_33[[#This Row],[功能代號]],E:Q,11,FALSE)=0,"",VLOOKUP(功能_33[[#This Row],[功能代號]],E:Q,11,FALSE)),"")</f>
        <v>邱怡婷</v>
      </c>
      <c r="AH289" s="226"/>
      <c r="AI289" s="226"/>
      <c r="AJ289" s="307"/>
      <c r="AK289" s="226"/>
      <c r="AL289" s="308" t="s">
        <v>199</v>
      </c>
      <c r="AN289" s="307" t="str">
        <f>VLOOKUP(功能_33[[#This Row],[功能代號]],工作表2!B:B,1,FALSE)</f>
        <v>L2480</v>
      </c>
    </row>
    <row r="290" spans="1:40" ht="14.25" hidden="1" customHeight="1">
      <c r="A290" s="224">
        <v>260</v>
      </c>
      <c r="B290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0" s="307" t="s">
        <v>105</v>
      </c>
      <c r="D290" s="307" t="s">
        <v>893</v>
      </c>
      <c r="E290" s="308" t="s">
        <v>894</v>
      </c>
      <c r="F290" s="307" t="s">
        <v>895</v>
      </c>
      <c r="G290" s="307"/>
      <c r="H290" s="308" t="s">
        <v>486</v>
      </c>
      <c r="I290" s="308" t="s">
        <v>486</v>
      </c>
      <c r="J290" s="229"/>
      <c r="K290" s="226">
        <v>44496</v>
      </c>
      <c r="L290" s="226">
        <v>44496</v>
      </c>
      <c r="M290" s="226" t="str">
        <f>IFERROR(IF(VLOOKUP(功能_33[[#This Row],[功能代號]],討論項目!A:H,8,FALSE)=0,"",VLOOKUP(功能_33[[#This Row],[功能代號]],討論項目!A:H,8,FALSE)),"")</f>
        <v/>
      </c>
      <c r="N290" s="308" t="s">
        <v>7</v>
      </c>
      <c r="O290" s="308" t="s">
        <v>14</v>
      </c>
      <c r="T290" s="308"/>
      <c r="V290" s="308"/>
      <c r="W290" s="308"/>
      <c r="X290" s="307" t="str">
        <f>VLOOKUP(功能_33[[#This Row],[User]],SKL放款!A:G,7,FALSE)</f>
        <v>放款管理課</v>
      </c>
      <c r="Y290" s="228">
        <f>IF(功能_33[[#This Row],[實際展示]]="","",功能_33[[#This Row],[實際展示]]+14)</f>
        <v>44510</v>
      </c>
      <c r="Z290" s="226" t="s">
        <v>2808</v>
      </c>
      <c r="AA290" s="226"/>
      <c r="AB290" s="226"/>
      <c r="AC290" s="226"/>
      <c r="AD290" s="226"/>
      <c r="AE290" s="226"/>
      <c r="AF290" s="355"/>
      <c r="AG290" s="226" t="str">
        <f>IFERROR(IF(VLOOKUP(功能_33[[#This Row],[功能代號]],E:Q,11,FALSE)=0,"",VLOOKUP(功能_33[[#This Row],[功能代號]],E:Q,11,FALSE)),"")</f>
        <v>張舜雯</v>
      </c>
      <c r="AH290" s="226"/>
      <c r="AI290" s="226"/>
      <c r="AJ290" s="307"/>
      <c r="AK290" s="225">
        <v>44488</v>
      </c>
      <c r="AN290" s="307" t="str">
        <f>VLOOKUP(功能_33[[#This Row],[功能代號]],工作表2!B:B,1,FALSE)</f>
        <v>L5060</v>
      </c>
    </row>
    <row r="291" spans="1:40" ht="14.25" hidden="1" customHeight="1">
      <c r="A291" s="224">
        <v>261</v>
      </c>
      <c r="B2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07" t="s">
        <v>105</v>
      </c>
      <c r="D291" s="307" t="s">
        <v>893</v>
      </c>
      <c r="E291" s="308" t="s">
        <v>896</v>
      </c>
      <c r="F291" s="307" t="s">
        <v>897</v>
      </c>
      <c r="G291" s="307"/>
      <c r="H291" s="308" t="s">
        <v>486</v>
      </c>
      <c r="I291" s="308" t="s">
        <v>486</v>
      </c>
      <c r="J291" s="229"/>
      <c r="K291" s="226">
        <v>44496</v>
      </c>
      <c r="L291" s="226">
        <v>44496</v>
      </c>
      <c r="M291" s="226" t="str">
        <f>IFERROR(IF(VLOOKUP(功能_33[[#This Row],[功能代號]],討論項目!A:H,8,FALSE)=0,"",VLOOKUP(功能_33[[#This Row],[功能代號]],討論項目!A:H,8,FALSE)),"")</f>
        <v/>
      </c>
      <c r="N291" s="308" t="s">
        <v>7</v>
      </c>
      <c r="O291" s="308" t="s">
        <v>14</v>
      </c>
      <c r="T291" s="308"/>
      <c r="V291" s="308"/>
      <c r="W291" s="308"/>
      <c r="X291" s="307" t="str">
        <f>VLOOKUP(功能_33[[#This Row],[User]],SKL放款!A:G,7,FALSE)</f>
        <v>放款管理課</v>
      </c>
      <c r="Y291" s="228">
        <f>IF(功能_33[[#This Row],[實際展示]]="","",功能_33[[#This Row],[實際展示]]+14)</f>
        <v>44510</v>
      </c>
      <c r="Z291" s="226" t="s">
        <v>2809</v>
      </c>
      <c r="AA291" s="226" t="e">
        <f>IF(功能_33[[#This Row],[URS交二審]]=0,"",功能_33[[#This Row],[URS交二審]]+7)</f>
        <v>#VALUE!</v>
      </c>
      <c r="AB291" s="226"/>
      <c r="AC291" s="226"/>
      <c r="AD291" s="226"/>
      <c r="AE291" s="226"/>
      <c r="AF291" s="355"/>
      <c r="AG291" s="226" t="str">
        <f>IFERROR(IF(VLOOKUP(功能_33[[#This Row],[功能代號]],E:Q,11,FALSE)=0,"",VLOOKUP(功能_33[[#This Row],[功能代號]],E:Q,11,FALSE)),"")</f>
        <v>張舜雯</v>
      </c>
      <c r="AH291" s="226"/>
      <c r="AI291" s="226"/>
      <c r="AJ291" s="307"/>
      <c r="AK291" s="226"/>
      <c r="AN291" s="307" t="e">
        <f>VLOOKUP(功能_33[[#This Row],[功能代號]],工作表2!B:B,1,FALSE)</f>
        <v>#N/A</v>
      </c>
    </row>
    <row r="292" spans="1:40" ht="14.25" hidden="1" customHeight="1">
      <c r="A292" s="224">
        <v>262</v>
      </c>
      <c r="B29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07" t="s">
        <v>105</v>
      </c>
      <c r="D292" s="307" t="s">
        <v>893</v>
      </c>
      <c r="E292" s="308" t="s">
        <v>898</v>
      </c>
      <c r="F292" s="307" t="s">
        <v>899</v>
      </c>
      <c r="G292" s="307"/>
      <c r="H292" s="308" t="s">
        <v>486</v>
      </c>
      <c r="I292" s="308" t="s">
        <v>486</v>
      </c>
      <c r="J292" s="229"/>
      <c r="K292" s="226">
        <v>44496</v>
      </c>
      <c r="L292" s="226">
        <v>44496</v>
      </c>
      <c r="M292" s="226">
        <f>IFERROR(IF(VLOOKUP(功能_33[[#This Row],[功能代號]],討論項目!A:H,8,FALSE)=0,"",VLOOKUP(功能_33[[#This Row],[功能代號]],討論項目!A:H,8,FALSE)),"")</f>
        <v>44497</v>
      </c>
      <c r="N292" s="308" t="s">
        <v>7</v>
      </c>
      <c r="O292" s="308" t="s">
        <v>14</v>
      </c>
      <c r="T292" s="308"/>
      <c r="V292" s="308"/>
      <c r="W292" s="308"/>
      <c r="X292" s="307" t="str">
        <f>VLOOKUP(功能_33[[#This Row],[User]],SKL放款!A:G,7,FALSE)</f>
        <v>放款管理課</v>
      </c>
      <c r="Y292" s="228">
        <f>IF(功能_33[[#This Row],[實際展示]]="","",功能_33[[#This Row],[實際展示]]+14)</f>
        <v>44510</v>
      </c>
      <c r="Z292" s="226" t="s">
        <v>2808</v>
      </c>
      <c r="AA292" s="226"/>
      <c r="AB292" s="226"/>
      <c r="AC292" s="226"/>
      <c r="AD292" s="226"/>
      <c r="AE292" s="226"/>
      <c r="AF292" s="355"/>
      <c r="AG292" s="226" t="str">
        <f>IFERROR(IF(VLOOKUP(功能_33[[#This Row],[功能代號]],E:Q,11,FALSE)=0,"",VLOOKUP(功能_33[[#This Row],[功能代號]],E:Q,11,FALSE)),"")</f>
        <v>張舜雯</v>
      </c>
      <c r="AH292" s="226"/>
      <c r="AI292" s="226"/>
      <c r="AJ292" s="307"/>
      <c r="AK292" s="226"/>
      <c r="AN292" s="307" t="str">
        <f>VLOOKUP(功能_33[[#This Row],[功能代號]],工作表2!B:B,1,FALSE)</f>
        <v>L5961</v>
      </c>
    </row>
    <row r="293" spans="1:40" ht="14.25" hidden="1" customHeight="1">
      <c r="A293" s="224">
        <v>263</v>
      </c>
      <c r="B29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07" t="s">
        <v>105</v>
      </c>
      <c r="D293" s="307" t="s">
        <v>893</v>
      </c>
      <c r="E293" s="308" t="s">
        <v>900</v>
      </c>
      <c r="F293" s="307" t="s">
        <v>901</v>
      </c>
      <c r="G293" s="307"/>
      <c r="H293" s="308" t="s">
        <v>486</v>
      </c>
      <c r="I293" s="308" t="s">
        <v>486</v>
      </c>
      <c r="J293" s="229"/>
      <c r="K293" s="226">
        <v>44496</v>
      </c>
      <c r="L293" s="226">
        <v>44496</v>
      </c>
      <c r="M293" s="226">
        <f>IFERROR(IF(VLOOKUP(功能_33[[#This Row],[功能代號]],討論項目!A:H,8,FALSE)=0,"",VLOOKUP(功能_33[[#This Row],[功能代號]],討論項目!A:H,8,FALSE)),"")</f>
        <v>44504</v>
      </c>
      <c r="N293" s="308" t="s">
        <v>7</v>
      </c>
      <c r="O293" s="308" t="s">
        <v>14</v>
      </c>
      <c r="T293" s="308"/>
      <c r="V293" s="308"/>
      <c r="W293" s="308"/>
      <c r="X293" s="307" t="str">
        <f>VLOOKUP(功能_33[[#This Row],[User]],SKL放款!A:G,7,FALSE)</f>
        <v>放款管理課</v>
      </c>
      <c r="Y293" s="228">
        <f>IF(功能_33[[#This Row],[實際展示]]="","",功能_33[[#This Row],[實際展示]]+14)</f>
        <v>44510</v>
      </c>
      <c r="Z293" s="226" t="s">
        <v>2808</v>
      </c>
      <c r="AA293" s="226"/>
      <c r="AB293" s="226"/>
      <c r="AC293" s="226"/>
      <c r="AD293" s="226"/>
      <c r="AE293" s="226"/>
      <c r="AF293" s="355"/>
      <c r="AG293" s="226" t="str">
        <f>IFERROR(IF(VLOOKUP(功能_33[[#This Row],[功能代號]],E:Q,11,FALSE)=0,"",VLOOKUP(功能_33[[#This Row],[功能代號]],E:Q,11,FALSE)),"")</f>
        <v>張舜雯</v>
      </c>
      <c r="AH293" s="226"/>
      <c r="AI293" s="226"/>
      <c r="AJ293" s="307"/>
      <c r="AK293" s="226"/>
      <c r="AN293" s="307" t="str">
        <f>VLOOKUP(功能_33[[#This Row],[功能代號]],工作表2!B:B,1,FALSE)</f>
        <v>L5601</v>
      </c>
    </row>
    <row r="294" spans="1:40" ht="14.25" hidden="1" customHeight="1">
      <c r="A294" s="224">
        <v>264</v>
      </c>
      <c r="B29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07" t="s">
        <v>105</v>
      </c>
      <c r="D294" s="307" t="s">
        <v>893</v>
      </c>
      <c r="E294" s="308" t="s">
        <v>902</v>
      </c>
      <c r="F294" s="307" t="s">
        <v>903</v>
      </c>
      <c r="G294" s="307"/>
      <c r="H294" s="308" t="s">
        <v>486</v>
      </c>
      <c r="I294" s="308" t="s">
        <v>486</v>
      </c>
      <c r="J294" s="229"/>
      <c r="K294" s="226">
        <v>44496</v>
      </c>
      <c r="L294" s="226">
        <v>44496</v>
      </c>
      <c r="M294" s="226">
        <f>IFERROR(IF(VLOOKUP(功能_33[[#This Row],[功能代號]],討論項目!A:H,8,FALSE)=0,"",VLOOKUP(功能_33[[#This Row],[功能代號]],討論項目!A:H,8,FALSE)),"")</f>
        <v>44497</v>
      </c>
      <c r="N294" s="308" t="s">
        <v>7</v>
      </c>
      <c r="O294" s="308" t="s">
        <v>14</v>
      </c>
      <c r="T294" s="308"/>
      <c r="V294" s="308"/>
      <c r="W294" s="308"/>
      <c r="X294" s="307" t="str">
        <f>VLOOKUP(功能_33[[#This Row],[User]],SKL放款!A:G,7,FALSE)</f>
        <v>放款管理課</v>
      </c>
      <c r="Y294" s="228">
        <f>IF(功能_33[[#This Row],[實際展示]]="","",功能_33[[#This Row],[實際展示]]+14)</f>
        <v>44510</v>
      </c>
      <c r="Z294" s="226" t="s">
        <v>2808</v>
      </c>
      <c r="AA294" s="226"/>
      <c r="AB294" s="226"/>
      <c r="AC294" s="226"/>
      <c r="AD294" s="226"/>
      <c r="AE294" s="226"/>
      <c r="AF294" s="355"/>
      <c r="AG294" s="226" t="str">
        <f>IFERROR(IF(VLOOKUP(功能_33[[#This Row],[功能代號]],E:Q,11,FALSE)=0,"",VLOOKUP(功能_33[[#This Row],[功能代號]],E:Q,11,FALSE)),"")</f>
        <v>張舜雯</v>
      </c>
      <c r="AH294" s="226"/>
      <c r="AI294" s="226"/>
      <c r="AJ294" s="307"/>
      <c r="AK294" s="226"/>
      <c r="AN294" s="307" t="str">
        <f>VLOOKUP(功能_33[[#This Row],[功能代號]],工作表2!B:B,1,FALSE)</f>
        <v>L5962</v>
      </c>
    </row>
    <row r="295" spans="1:40" ht="14.25" hidden="1" customHeight="1">
      <c r="A295" s="224">
        <v>265</v>
      </c>
      <c r="B29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07" t="s">
        <v>105</v>
      </c>
      <c r="D295" s="307" t="s">
        <v>893</v>
      </c>
      <c r="E295" s="308" t="s">
        <v>904</v>
      </c>
      <c r="F295" s="307" t="s">
        <v>905</v>
      </c>
      <c r="G295" s="307"/>
      <c r="H295" s="308" t="s">
        <v>486</v>
      </c>
      <c r="I295" s="308" t="s">
        <v>486</v>
      </c>
      <c r="J295" s="229"/>
      <c r="K295" s="226">
        <v>44496</v>
      </c>
      <c r="L295" s="226">
        <v>44496</v>
      </c>
      <c r="M295" s="226">
        <f>IFERROR(IF(VLOOKUP(功能_33[[#This Row],[功能代號]],討論項目!A:H,8,FALSE)=0,"",VLOOKUP(功能_33[[#This Row],[功能代號]],討論項目!A:H,8,FALSE)),"")</f>
        <v>44504</v>
      </c>
      <c r="N295" s="308" t="s">
        <v>7</v>
      </c>
      <c r="O295" s="308" t="s">
        <v>14</v>
      </c>
      <c r="T295" s="308"/>
      <c r="V295" s="308"/>
      <c r="W295" s="308"/>
      <c r="X295" s="307" t="str">
        <f>VLOOKUP(功能_33[[#This Row],[User]],SKL放款!A:G,7,FALSE)</f>
        <v>放款管理課</v>
      </c>
      <c r="Y295" s="228">
        <f>IF(功能_33[[#This Row],[實際展示]]="","",功能_33[[#This Row],[實際展示]]+14)</f>
        <v>44510</v>
      </c>
      <c r="Z295" s="226" t="s">
        <v>2808</v>
      </c>
      <c r="AA295" s="226"/>
      <c r="AB295" s="226"/>
      <c r="AC295" s="226"/>
      <c r="AD295" s="226"/>
      <c r="AE295" s="226"/>
      <c r="AF295" s="355"/>
      <c r="AG295" s="226" t="str">
        <f>IFERROR(IF(VLOOKUP(功能_33[[#This Row],[功能代號]],E:Q,11,FALSE)=0,"",VLOOKUP(功能_33[[#This Row],[功能代號]],E:Q,11,FALSE)),"")</f>
        <v>張舜雯</v>
      </c>
      <c r="AH295" s="226"/>
      <c r="AI295" s="226"/>
      <c r="AJ295" s="307"/>
      <c r="AK295" s="226"/>
      <c r="AN295" s="307" t="str">
        <f>VLOOKUP(功能_33[[#This Row],[功能代號]],工作表2!B:B,1,FALSE)</f>
        <v>L5602</v>
      </c>
    </row>
    <row r="296" spans="1:40" ht="14.25" hidden="1" customHeight="1">
      <c r="A296" s="224">
        <v>266</v>
      </c>
      <c r="B29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07" t="s">
        <v>105</v>
      </c>
      <c r="D296" s="307" t="s">
        <v>893</v>
      </c>
      <c r="E296" s="308" t="s">
        <v>906</v>
      </c>
      <c r="F296" s="307" t="s">
        <v>907</v>
      </c>
      <c r="G296" s="307"/>
      <c r="H296" s="308" t="s">
        <v>486</v>
      </c>
      <c r="I296" s="308" t="s">
        <v>486</v>
      </c>
      <c r="J296" s="229"/>
      <c r="K296" s="226">
        <v>44496</v>
      </c>
      <c r="L296" s="226">
        <v>44496</v>
      </c>
      <c r="M296" s="226">
        <f>IFERROR(IF(VLOOKUP(功能_33[[#This Row],[功能代號]],討論項目!A:H,8,FALSE)=0,"",VLOOKUP(功能_33[[#This Row],[功能代號]],討論項目!A:H,8,FALSE)),"")</f>
        <v>44497</v>
      </c>
      <c r="N296" s="308" t="s">
        <v>7</v>
      </c>
      <c r="O296" s="308" t="s">
        <v>14</v>
      </c>
      <c r="T296" s="308"/>
      <c r="V296" s="308"/>
      <c r="W296" s="308"/>
      <c r="X296" s="307" t="str">
        <f>VLOOKUP(功能_33[[#This Row],[User]],SKL放款!A:G,7,FALSE)</f>
        <v>放款管理課</v>
      </c>
      <c r="Y296" s="228">
        <f>IF(功能_33[[#This Row],[實際展示]]="","",功能_33[[#This Row],[實際展示]]+14)</f>
        <v>44510</v>
      </c>
      <c r="Z296" s="226" t="s">
        <v>2808</v>
      </c>
      <c r="AA296" s="226"/>
      <c r="AB296" s="226"/>
      <c r="AC296" s="226"/>
      <c r="AD296" s="226"/>
      <c r="AE296" s="226"/>
      <c r="AF296" s="355"/>
      <c r="AG296" s="226" t="str">
        <f>IFERROR(IF(VLOOKUP(功能_33[[#This Row],[功能代號]],E:Q,11,FALSE)=0,"",VLOOKUP(功能_33[[#This Row],[功能代號]],E:Q,11,FALSE)),"")</f>
        <v>張舜雯</v>
      </c>
      <c r="AH296" s="226"/>
      <c r="AI296" s="226"/>
      <c r="AJ296" s="307"/>
      <c r="AK296" s="226"/>
      <c r="AN296" s="307" t="str">
        <f>VLOOKUP(功能_33[[#This Row],[功能代號]],工作表2!B:B,1,FALSE)</f>
        <v>L5963</v>
      </c>
    </row>
    <row r="297" spans="1:40" ht="14.25" hidden="1" customHeight="1">
      <c r="A297" s="224">
        <v>267</v>
      </c>
      <c r="B29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07" t="s">
        <v>105</v>
      </c>
      <c r="D297" s="307" t="s">
        <v>893</v>
      </c>
      <c r="E297" s="308" t="s">
        <v>908</v>
      </c>
      <c r="F297" s="307" t="s">
        <v>909</v>
      </c>
      <c r="G297" s="307"/>
      <c r="H297" s="308" t="s">
        <v>486</v>
      </c>
      <c r="I297" s="308" t="s">
        <v>486</v>
      </c>
      <c r="J297" s="229"/>
      <c r="K297" s="226">
        <v>44496</v>
      </c>
      <c r="L297" s="226">
        <v>44496</v>
      </c>
      <c r="M297" s="226">
        <f>IFERROR(IF(VLOOKUP(功能_33[[#This Row],[功能代號]],討論項目!A:H,8,FALSE)=0,"",VLOOKUP(功能_33[[#This Row],[功能代號]],討論項目!A:H,8,FALSE)),"")</f>
        <v>44504</v>
      </c>
      <c r="N297" s="308" t="s">
        <v>7</v>
      </c>
      <c r="O297" s="308" t="s">
        <v>14</v>
      </c>
      <c r="T297" s="308"/>
      <c r="V297" s="308"/>
      <c r="W297" s="308"/>
      <c r="X297" s="307" t="str">
        <f>VLOOKUP(功能_33[[#This Row],[User]],SKL放款!A:G,7,FALSE)</f>
        <v>放款管理課</v>
      </c>
      <c r="Y297" s="228">
        <f>IF(功能_33[[#This Row],[實際展示]]="","",功能_33[[#This Row],[實際展示]]+14)</f>
        <v>44510</v>
      </c>
      <c r="Z297" s="226" t="s">
        <v>2808</v>
      </c>
      <c r="AA297" s="226"/>
      <c r="AB297" s="226"/>
      <c r="AC297" s="226"/>
      <c r="AD297" s="226"/>
      <c r="AE297" s="226"/>
      <c r="AF297" s="355"/>
      <c r="AG297" s="226" t="str">
        <f>IFERROR(IF(VLOOKUP(功能_33[[#This Row],[功能代號]],E:Q,11,FALSE)=0,"",VLOOKUP(功能_33[[#This Row],[功能代號]],E:Q,11,FALSE)),"")</f>
        <v>張舜雯</v>
      </c>
      <c r="AH297" s="226"/>
      <c r="AI297" s="226"/>
      <c r="AJ297" s="307"/>
      <c r="AK297" s="226"/>
      <c r="AN297" s="307" t="str">
        <f>VLOOKUP(功能_33[[#This Row],[功能代號]],工作表2!B:B,1,FALSE)</f>
        <v>L5603</v>
      </c>
    </row>
    <row r="298" spans="1:40" ht="14.25" hidden="1" customHeight="1">
      <c r="A298" s="224">
        <v>268</v>
      </c>
      <c r="B2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07" t="s">
        <v>105</v>
      </c>
      <c r="D298" s="307" t="s">
        <v>893</v>
      </c>
      <c r="E298" s="308" t="s">
        <v>910</v>
      </c>
      <c r="F298" s="307" t="s">
        <v>911</v>
      </c>
      <c r="G298" s="307"/>
      <c r="H298" s="308" t="s">
        <v>486</v>
      </c>
      <c r="I298" s="308" t="s">
        <v>486</v>
      </c>
      <c r="J298" s="229"/>
      <c r="K298" s="226">
        <v>44497</v>
      </c>
      <c r="L298" s="226">
        <v>44496</v>
      </c>
      <c r="M298" s="226">
        <f>IFERROR(IF(VLOOKUP(功能_33[[#This Row],[功能代號]],討論項目!A:H,8,FALSE)=0,"",VLOOKUP(功能_33[[#This Row],[功能代號]],討論項目!A:H,8,FALSE)),"")</f>
        <v>44497</v>
      </c>
      <c r="N298" s="308" t="s">
        <v>7</v>
      </c>
      <c r="O298" s="308" t="s">
        <v>14</v>
      </c>
      <c r="T298" s="308"/>
      <c r="V298" s="308"/>
      <c r="W298" s="308"/>
      <c r="X298" s="307" t="str">
        <f>VLOOKUP(功能_33[[#This Row],[User]],SKL放款!A:G,7,FALSE)</f>
        <v>放款管理課</v>
      </c>
      <c r="Y298" s="228">
        <f>IF(功能_33[[#This Row],[實際展示]]="","",功能_33[[#This Row],[實際展示]]+14)</f>
        <v>44510</v>
      </c>
      <c r="Z298" s="226" t="s">
        <v>2808</v>
      </c>
      <c r="AA298" s="226"/>
      <c r="AB298" s="226"/>
      <c r="AC298" s="226"/>
      <c r="AD298" s="226"/>
      <c r="AE298" s="226"/>
      <c r="AF298" s="355"/>
      <c r="AG298" s="226" t="str">
        <f>IFERROR(IF(VLOOKUP(功能_33[[#This Row],[功能代號]],E:Q,11,FALSE)=0,"",VLOOKUP(功能_33[[#This Row],[功能代號]],E:Q,11,FALSE)),"")</f>
        <v>張舜雯</v>
      </c>
      <c r="AH298" s="226"/>
      <c r="AI298" s="226"/>
      <c r="AJ298" s="307"/>
      <c r="AK298" s="226"/>
      <c r="AN298" s="307" t="str">
        <f>VLOOKUP(功能_33[[#This Row],[功能代號]],工作表2!B:B,1,FALSE)</f>
        <v>L5964</v>
      </c>
    </row>
    <row r="299" spans="1:40" ht="14.25" hidden="1" customHeight="1">
      <c r="A299" s="224">
        <v>269</v>
      </c>
      <c r="B2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07" t="s">
        <v>105</v>
      </c>
      <c r="D299" s="307" t="s">
        <v>893</v>
      </c>
      <c r="E299" s="308" t="s">
        <v>912</v>
      </c>
      <c r="F299" s="307" t="s">
        <v>913</v>
      </c>
      <c r="G299" s="307"/>
      <c r="H299" s="308" t="s">
        <v>486</v>
      </c>
      <c r="I299" s="308" t="s">
        <v>486</v>
      </c>
      <c r="J299" s="229"/>
      <c r="K299" s="226">
        <v>44497</v>
      </c>
      <c r="L299" s="226">
        <v>44496</v>
      </c>
      <c r="M299" s="226">
        <f>IFERROR(IF(VLOOKUP(功能_33[[#This Row],[功能代號]],討論項目!A:H,8,FALSE)=0,"",VLOOKUP(功能_33[[#This Row],[功能代號]],討論項目!A:H,8,FALSE)),"")</f>
        <v>44504</v>
      </c>
      <c r="N299" s="308" t="s">
        <v>7</v>
      </c>
      <c r="O299" s="308" t="s">
        <v>14</v>
      </c>
      <c r="T299" s="308"/>
      <c r="V299" s="308"/>
      <c r="W299" s="308"/>
      <c r="X299" s="307" t="str">
        <f>VLOOKUP(功能_33[[#This Row],[User]],SKL放款!A:G,7,FALSE)</f>
        <v>放款管理課</v>
      </c>
      <c r="Y299" s="228">
        <f>IF(功能_33[[#This Row],[實際展示]]="","",功能_33[[#This Row],[實際展示]]+14)</f>
        <v>44510</v>
      </c>
      <c r="Z299" s="226" t="s">
        <v>2808</v>
      </c>
      <c r="AA299" s="226"/>
      <c r="AB299" s="226"/>
      <c r="AC299" s="226"/>
      <c r="AD299" s="226"/>
      <c r="AE299" s="226"/>
      <c r="AF299" s="355"/>
      <c r="AG299" s="226" t="str">
        <f>IFERROR(IF(VLOOKUP(功能_33[[#This Row],[功能代號]],E:Q,11,FALSE)=0,"",VLOOKUP(功能_33[[#This Row],[功能代號]],E:Q,11,FALSE)),"")</f>
        <v>張舜雯</v>
      </c>
      <c r="AH299" s="226"/>
      <c r="AI299" s="226"/>
      <c r="AJ299" s="307"/>
      <c r="AK299" s="226"/>
      <c r="AN299" s="307" t="str">
        <f>VLOOKUP(功能_33[[#This Row],[功能代號]],工作表2!B:B,1,FALSE)</f>
        <v>L5604</v>
      </c>
    </row>
    <row r="300" spans="1:40" ht="14.25" hidden="1" customHeight="1">
      <c r="A300" s="224">
        <v>270</v>
      </c>
      <c r="B3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307" t="s">
        <v>105</v>
      </c>
      <c r="D300" s="307" t="s">
        <v>893</v>
      </c>
      <c r="E300" s="308" t="s">
        <v>914</v>
      </c>
      <c r="F300" s="307" t="s">
        <v>915</v>
      </c>
      <c r="G300" s="307"/>
      <c r="H300" s="308" t="s">
        <v>486</v>
      </c>
      <c r="I300" s="308" t="s">
        <v>486</v>
      </c>
      <c r="J300" s="229"/>
      <c r="K300" s="226">
        <v>44497</v>
      </c>
      <c r="L300" s="226">
        <v>44496</v>
      </c>
      <c r="M300" s="226">
        <f>IFERROR(IF(VLOOKUP(功能_33[[#This Row],[功能代號]],討論項目!A:H,8,FALSE)=0,"",VLOOKUP(功能_33[[#This Row],[功能代號]],討論項目!A:H,8,FALSE)),"")</f>
        <v>44497</v>
      </c>
      <c r="N300" s="308" t="s">
        <v>7</v>
      </c>
      <c r="O300" s="308" t="s">
        <v>14</v>
      </c>
      <c r="T300" s="308"/>
      <c r="V300" s="308"/>
      <c r="W300" s="308"/>
      <c r="X300" s="307" t="str">
        <f>VLOOKUP(功能_33[[#This Row],[User]],SKL放款!A:G,7,FALSE)</f>
        <v>放款管理課</v>
      </c>
      <c r="Y300" s="228">
        <f>IF(功能_33[[#This Row],[實際展示]]="","",功能_33[[#This Row],[實際展示]]+14)</f>
        <v>44510</v>
      </c>
      <c r="Z300" s="226" t="s">
        <v>2808</v>
      </c>
      <c r="AA300" s="226"/>
      <c r="AB300" s="226"/>
      <c r="AC300" s="226"/>
      <c r="AD300" s="226"/>
      <c r="AE300" s="226"/>
      <c r="AF300" s="355"/>
      <c r="AG300" s="226" t="str">
        <f>IFERROR(IF(VLOOKUP(功能_33[[#This Row],[功能代號]],E:Q,11,FALSE)=0,"",VLOOKUP(功能_33[[#This Row],[功能代號]],E:Q,11,FALSE)),"")</f>
        <v>張舜雯</v>
      </c>
      <c r="AH300" s="226"/>
      <c r="AI300" s="226"/>
      <c r="AJ300" s="307"/>
      <c r="AK300" s="226"/>
      <c r="AN300" s="307" t="str">
        <f>VLOOKUP(功能_33[[#This Row],[功能代號]],工作表2!B:B,1,FALSE)</f>
        <v>L5965</v>
      </c>
    </row>
    <row r="301" spans="1:40" ht="14.25" hidden="1" customHeight="1">
      <c r="A301" s="224">
        <v>271</v>
      </c>
      <c r="B3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307" t="s">
        <v>105</v>
      </c>
      <c r="D301" s="307" t="s">
        <v>893</v>
      </c>
      <c r="E301" s="308" t="s">
        <v>916</v>
      </c>
      <c r="F301" s="307" t="s">
        <v>917</v>
      </c>
      <c r="G301" s="307"/>
      <c r="H301" s="308" t="s">
        <v>486</v>
      </c>
      <c r="I301" s="308" t="s">
        <v>486</v>
      </c>
      <c r="J301" s="229"/>
      <c r="K301" s="226">
        <v>44497</v>
      </c>
      <c r="L301" s="226">
        <v>44496</v>
      </c>
      <c r="M301" s="226">
        <f>IFERROR(IF(VLOOKUP(功能_33[[#This Row],[功能代號]],討論項目!A:H,8,FALSE)=0,"",VLOOKUP(功能_33[[#This Row],[功能代號]],討論項目!A:H,8,FALSE)),"")</f>
        <v>44501</v>
      </c>
      <c r="N301" s="308" t="s">
        <v>7</v>
      </c>
      <c r="O301" s="308" t="s">
        <v>14</v>
      </c>
      <c r="T301" s="308"/>
      <c r="V301" s="308"/>
      <c r="W301" s="308"/>
      <c r="X301" s="307" t="str">
        <f>VLOOKUP(功能_33[[#This Row],[User]],SKL放款!A:G,7,FALSE)</f>
        <v>放款管理課</v>
      </c>
      <c r="Y301" s="228">
        <f>IF(功能_33[[#This Row],[實際展示]]="","",功能_33[[#This Row],[實際展示]]+14)</f>
        <v>44510</v>
      </c>
      <c r="Z301" s="226" t="s">
        <v>2808</v>
      </c>
      <c r="AA301" s="226"/>
      <c r="AB301" s="226"/>
      <c r="AC301" s="226"/>
      <c r="AD301" s="226"/>
      <c r="AE301" s="226"/>
      <c r="AF301" s="355"/>
      <c r="AG301" s="226" t="str">
        <f>IFERROR(IF(VLOOKUP(功能_33[[#This Row],[功能代號]],E:Q,11,FALSE)=0,"",VLOOKUP(功能_33[[#This Row],[功能代號]],E:Q,11,FALSE)),"")</f>
        <v>張舜雯</v>
      </c>
      <c r="AH301" s="226"/>
      <c r="AI301" s="226"/>
      <c r="AJ301" s="307"/>
      <c r="AK301" s="226"/>
      <c r="AN301" s="307" t="str">
        <f>VLOOKUP(功能_33[[#This Row],[功能代號]],工作表2!B:B,1,FALSE)</f>
        <v>L5605</v>
      </c>
    </row>
    <row r="302" spans="1:40" ht="14.25" hidden="1" customHeight="1">
      <c r="A302" s="224">
        <v>272</v>
      </c>
      <c r="B302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2" s="307" t="s">
        <v>105</v>
      </c>
      <c r="D302" s="307" t="s">
        <v>893</v>
      </c>
      <c r="E302" s="308" t="s">
        <v>918</v>
      </c>
      <c r="F302" s="307" t="s">
        <v>919</v>
      </c>
      <c r="G302" s="307"/>
      <c r="H302" s="308" t="s">
        <v>486</v>
      </c>
      <c r="I302" s="308" t="s">
        <v>486</v>
      </c>
      <c r="J302" s="229"/>
      <c r="K302" s="226">
        <v>44497</v>
      </c>
      <c r="L302" s="226">
        <v>44496</v>
      </c>
      <c r="M302" s="226">
        <f>IFERROR(IF(VLOOKUP(功能_33[[#This Row],[功能代號]],討論項目!A:H,8,FALSE)=0,"",VLOOKUP(功能_33[[#This Row],[功能代號]],討論項目!A:H,8,FALSE)),"")</f>
        <v>44501</v>
      </c>
      <c r="N302" s="308" t="s">
        <v>7</v>
      </c>
      <c r="O302" s="308" t="s">
        <v>14</v>
      </c>
      <c r="T302" s="308"/>
      <c r="V302" s="308"/>
      <c r="W302" s="308"/>
      <c r="X302" s="307" t="str">
        <f>VLOOKUP(功能_33[[#This Row],[User]],SKL放款!A:G,7,FALSE)</f>
        <v>放款管理課</v>
      </c>
      <c r="Y302" s="228">
        <f>IF(功能_33[[#This Row],[實際展示]]="","",功能_33[[#This Row],[實際展示]]+14)</f>
        <v>44510</v>
      </c>
      <c r="Z302" s="226" t="s">
        <v>2808</v>
      </c>
      <c r="AA302" s="226"/>
      <c r="AB302" s="226"/>
      <c r="AC302" s="226"/>
      <c r="AD302" s="226"/>
      <c r="AE302" s="226"/>
      <c r="AF302" s="355"/>
      <c r="AG302" s="226" t="str">
        <f>IFERROR(IF(VLOOKUP(功能_33[[#This Row],[功能代號]],E:Q,11,FALSE)=0,"",VLOOKUP(功能_33[[#This Row],[功能代號]],E:Q,11,FALSE)),"")</f>
        <v>張舜雯</v>
      </c>
      <c r="AH302" s="226"/>
      <c r="AI302" s="226"/>
      <c r="AJ302" s="307"/>
      <c r="AK302" s="226"/>
      <c r="AN302" s="307" t="str">
        <f>VLOOKUP(功能_33[[#This Row],[功能代號]],工作表2!B:B,1,FALSE)</f>
        <v>L5061</v>
      </c>
    </row>
    <row r="303" spans="1:40" ht="14.25" hidden="1" customHeight="1">
      <c r="A303" s="224">
        <v>271</v>
      </c>
      <c r="B303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3" s="307" t="s">
        <v>105</v>
      </c>
      <c r="D303" s="307" t="s">
        <v>893</v>
      </c>
      <c r="E303" s="308" t="s">
        <v>920</v>
      </c>
      <c r="F303" s="307" t="s">
        <v>921</v>
      </c>
      <c r="G303" s="307" t="s">
        <v>922</v>
      </c>
      <c r="H303" s="308" t="s">
        <v>486</v>
      </c>
      <c r="I303" s="308" t="s">
        <v>486</v>
      </c>
      <c r="J303" s="229"/>
      <c r="K303" s="226">
        <v>44497</v>
      </c>
      <c r="L303" s="226">
        <v>44496</v>
      </c>
      <c r="M303" s="226" t="str">
        <f>IFERROR(IF(VLOOKUP(功能_33[[#This Row],[功能代號]],討論項目!A:H,8,FALSE)=0,"",VLOOKUP(功能_33[[#This Row],[功能代號]],討論項目!A:H,8,FALSE)),"")</f>
        <v/>
      </c>
      <c r="N303" s="308" t="s">
        <v>7</v>
      </c>
      <c r="O303" s="308" t="s">
        <v>14</v>
      </c>
      <c r="T303" s="308"/>
      <c r="V303" s="308"/>
      <c r="W303" s="308"/>
      <c r="X303" s="307" t="str">
        <f>VLOOKUP(功能_33[[#This Row],[User]],SKL放款!A:G,7,FALSE)</f>
        <v>放款管理課</v>
      </c>
      <c r="Y303" s="228">
        <f>IF(功能_33[[#This Row],[實際展示]]="","",功能_33[[#This Row],[實際展示]]+14)</f>
        <v>44510</v>
      </c>
      <c r="Z303" s="226" t="s">
        <v>2808</v>
      </c>
      <c r="AA303" s="226"/>
      <c r="AB303" s="226"/>
      <c r="AC303" s="226"/>
      <c r="AD303" s="226"/>
      <c r="AE303" s="226"/>
      <c r="AF303" s="355"/>
      <c r="AG303" s="226" t="str">
        <f>IFERROR(IF(VLOOKUP(功能_33[[#This Row],[功能代號]],E:Q,11,FALSE)=0,"",VLOOKUP(功能_33[[#This Row],[功能代號]],E:Q,11,FALSE)),"")</f>
        <v>張舜雯</v>
      </c>
      <c r="AH303" s="226"/>
      <c r="AI303" s="226"/>
      <c r="AJ303" s="307"/>
      <c r="AK303" s="226"/>
      <c r="AN303" s="307" t="str">
        <f>VLOOKUP(功能_33[[#This Row],[功能代號]],工作表2!B:B,1,FALSE)</f>
        <v>L5062</v>
      </c>
    </row>
    <row r="304" spans="1:40" ht="14.25" hidden="1" customHeight="1">
      <c r="A304" s="224">
        <v>272</v>
      </c>
      <c r="B3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07" t="s">
        <v>105</v>
      </c>
      <c r="D304" s="307" t="s">
        <v>893</v>
      </c>
      <c r="E304" s="308" t="s">
        <v>923</v>
      </c>
      <c r="F304" s="307" t="s">
        <v>924</v>
      </c>
      <c r="G304" s="307" t="s">
        <v>922</v>
      </c>
      <c r="H304" s="308" t="s">
        <v>486</v>
      </c>
      <c r="I304" s="308" t="s">
        <v>486</v>
      </c>
      <c r="J304" s="229"/>
      <c r="K304" s="226">
        <v>44497</v>
      </c>
      <c r="L304" s="226">
        <v>44496</v>
      </c>
      <c r="M304" s="226" t="str">
        <f>IFERROR(IF(VLOOKUP(功能_33[[#This Row],[功能代號]],討論項目!A:H,8,FALSE)=0,"",VLOOKUP(功能_33[[#This Row],[功能代號]],討論項目!A:H,8,FALSE)),"")</f>
        <v/>
      </c>
      <c r="N304" s="308" t="s">
        <v>7</v>
      </c>
      <c r="O304" s="308" t="s">
        <v>14</v>
      </c>
      <c r="T304" s="308"/>
      <c r="V304" s="308"/>
      <c r="W304" s="308"/>
      <c r="X304" s="307" t="str">
        <f>VLOOKUP(功能_33[[#This Row],[User]],SKL放款!A:G,7,FALSE)</f>
        <v>放款管理課</v>
      </c>
      <c r="Y304" s="228">
        <f>IF(功能_33[[#This Row],[實際展示]]="","",功能_33[[#This Row],[實際展示]]+14)</f>
        <v>44510</v>
      </c>
      <c r="Z304" s="226" t="s">
        <v>2809</v>
      </c>
      <c r="AA304" s="226" t="e">
        <f>IF(功能_33[[#This Row],[URS交二審]]=0,"",功能_33[[#This Row],[URS交二審]]+7)</f>
        <v>#VALUE!</v>
      </c>
      <c r="AB304" s="226"/>
      <c r="AC304" s="226"/>
      <c r="AD304" s="226"/>
      <c r="AE304" s="226"/>
      <c r="AF304" s="355"/>
      <c r="AG304" s="226" t="str">
        <f>IFERROR(IF(VLOOKUP(功能_33[[#This Row],[功能代號]],E:Q,11,FALSE)=0,"",VLOOKUP(功能_33[[#This Row],[功能代號]],E:Q,11,FALSE)),"")</f>
        <v>張舜雯</v>
      </c>
      <c r="AH304" s="226"/>
      <c r="AI304" s="226"/>
      <c r="AJ304" s="307"/>
      <c r="AK304" s="226"/>
      <c r="AN304" s="307" t="e">
        <f>VLOOKUP(功能_33[[#This Row],[功能代號]],工作表2!B:B,1,FALSE)</f>
        <v>#N/A</v>
      </c>
    </row>
    <row r="305" spans="1:40" ht="14.25" customHeight="1">
      <c r="A305" s="224">
        <v>362</v>
      </c>
      <c r="B305" s="307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5" s="307" t="s">
        <v>107</v>
      </c>
      <c r="D305" s="307" t="s">
        <v>925</v>
      </c>
      <c r="E305" s="308" t="s">
        <v>926</v>
      </c>
      <c r="F305" s="307" t="s">
        <v>927</v>
      </c>
      <c r="G305" s="307"/>
      <c r="H305" s="308" t="s">
        <v>147</v>
      </c>
      <c r="I305" s="308" t="s">
        <v>330</v>
      </c>
      <c r="J305" s="229" t="s">
        <v>2846</v>
      </c>
      <c r="K305" s="226">
        <v>44502</v>
      </c>
      <c r="L305" s="226">
        <v>44503</v>
      </c>
      <c r="M305" s="226" t="str">
        <f>IFERROR(IF(VLOOKUP(功能_33[[#This Row],[功能代號]],討論項目!A:H,8,FALSE)=0,"",VLOOKUP(功能_33[[#This Row],[功能代號]],討論項目!A:H,8,FALSE)),"")</f>
        <v/>
      </c>
      <c r="N305" s="308" t="s">
        <v>7</v>
      </c>
      <c r="O305" s="308" t="s">
        <v>28</v>
      </c>
      <c r="P305" s="277" t="s">
        <v>928</v>
      </c>
      <c r="T305" s="308"/>
      <c r="V305" s="308"/>
      <c r="W305" s="308"/>
      <c r="X305" s="307" t="str">
        <f>VLOOKUP(功能_33[[#This Row],[User]],SKL放款!A:G,7,FALSE)</f>
        <v>放款審查課</v>
      </c>
      <c r="Y305" s="228">
        <f>IF(功能_33[[#This Row],[實際展示]]="","",功能_33[[#This Row],[實際展示]]+14)</f>
        <v>44517</v>
      </c>
      <c r="Z305" s="226" t="s">
        <v>2808</v>
      </c>
      <c r="AA305" s="226"/>
      <c r="AB305" s="226"/>
      <c r="AC305" s="226"/>
      <c r="AD305" s="226"/>
      <c r="AE305" s="226"/>
      <c r="AF305" s="355"/>
      <c r="AG305" s="226" t="str">
        <f>IFERROR(IF(VLOOKUP(功能_33[[#This Row],[功能代號]],E:Q,11,FALSE)=0,"",VLOOKUP(功能_33[[#This Row],[功能代號]],E:Q,11,FALSE)),"")</f>
        <v>施美娟</v>
      </c>
      <c r="AH305" s="226"/>
      <c r="AI305" s="226"/>
      <c r="AJ305" s="307"/>
      <c r="AK305" s="226">
        <v>44438</v>
      </c>
      <c r="AL305" s="308" t="s">
        <v>2848</v>
      </c>
      <c r="AN305" s="307" t="str">
        <f>VLOOKUP(功能_33[[#This Row],[功能代號]],工作表2!B:B,1,FALSE)</f>
        <v>L8080</v>
      </c>
    </row>
    <row r="306" spans="1:40" ht="14.25" customHeight="1">
      <c r="A306" s="224">
        <v>363</v>
      </c>
      <c r="B3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307" t="s">
        <v>107</v>
      </c>
      <c r="D306" s="307" t="s">
        <v>925</v>
      </c>
      <c r="E306" s="308" t="s">
        <v>929</v>
      </c>
      <c r="F306" s="307" t="s">
        <v>930</v>
      </c>
      <c r="G306" s="307"/>
      <c r="H306" s="308" t="s">
        <v>147</v>
      </c>
      <c r="I306" s="308" t="s">
        <v>330</v>
      </c>
      <c r="J306" s="229" t="s">
        <v>2846</v>
      </c>
      <c r="K306" s="226">
        <v>44502</v>
      </c>
      <c r="L306" s="226">
        <v>44503</v>
      </c>
      <c r="M306" s="226" t="str">
        <f>IFERROR(IF(VLOOKUP(功能_33[[#This Row],[功能代號]],討論項目!A:H,8,FALSE)=0,"",VLOOKUP(功能_33[[#This Row],[功能代號]],討論項目!A:H,8,FALSE)),"")</f>
        <v/>
      </c>
      <c r="N306" s="308" t="s">
        <v>7</v>
      </c>
      <c r="O306" s="308" t="s">
        <v>28</v>
      </c>
      <c r="P306" s="277" t="s">
        <v>928</v>
      </c>
      <c r="T306" s="308"/>
      <c r="V306" s="308"/>
      <c r="W306" s="308"/>
      <c r="X306" s="307" t="str">
        <f>VLOOKUP(功能_33[[#This Row],[User]],SKL放款!A:G,7,FALSE)</f>
        <v>放款審查課</v>
      </c>
      <c r="Y306" s="228">
        <f>IF(功能_33[[#This Row],[實際展示]]="","",功能_33[[#This Row],[實際展示]]+14)</f>
        <v>44517</v>
      </c>
      <c r="Z306" s="226" t="s">
        <v>2809</v>
      </c>
      <c r="AA306" s="226" t="e">
        <f>IF(功能_33[[#This Row],[URS交二審]]=0,"",功能_33[[#This Row],[URS交二審]]+7)</f>
        <v>#VALUE!</v>
      </c>
      <c r="AB306" s="226"/>
      <c r="AC306" s="226"/>
      <c r="AD306" s="226"/>
      <c r="AE306" s="226"/>
      <c r="AF306" s="355"/>
      <c r="AG306" s="226" t="str">
        <f>IFERROR(IF(VLOOKUP(功能_33[[#This Row],[功能代號]],E:Q,11,FALSE)=0,"",VLOOKUP(功能_33[[#This Row],[功能代號]],E:Q,11,FALSE)),"")</f>
        <v>施美娟</v>
      </c>
      <c r="AH306" s="226"/>
      <c r="AI306" s="226"/>
      <c r="AJ306" s="307"/>
      <c r="AK306" s="226"/>
      <c r="AL306" s="308" t="s">
        <v>2848</v>
      </c>
      <c r="AN306" s="307" t="e">
        <f>VLOOKUP(功能_33[[#This Row],[功能代號]],工作表2!B:B,1,FALSE)</f>
        <v>#N/A</v>
      </c>
    </row>
    <row r="307" spans="1:40" ht="14.25" customHeight="1">
      <c r="A307" s="224">
        <v>364</v>
      </c>
      <c r="B3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7" s="307" t="s">
        <v>107</v>
      </c>
      <c r="D307" s="307" t="s">
        <v>931</v>
      </c>
      <c r="E307" s="308" t="s">
        <v>932</v>
      </c>
      <c r="F307" s="307" t="s">
        <v>933</v>
      </c>
      <c r="G307" s="307"/>
      <c r="H307" s="308" t="s">
        <v>147</v>
      </c>
      <c r="I307" s="308" t="s">
        <v>330</v>
      </c>
      <c r="J307" s="405" t="s">
        <v>2846</v>
      </c>
      <c r="K307" s="406">
        <v>44524</v>
      </c>
      <c r="L307" s="226"/>
      <c r="M307" s="226" t="str">
        <f>IFERROR(IF(VLOOKUP(功能_33[[#This Row],[功能代號]],討論項目!A:H,8,FALSE)=0,"",VLOOKUP(功能_33[[#This Row],[功能代號]],討論項目!A:H,8,FALSE)),"")</f>
        <v/>
      </c>
      <c r="N307" s="308" t="s">
        <v>7</v>
      </c>
      <c r="O307" s="308" t="s">
        <v>28</v>
      </c>
      <c r="P307" s="277" t="s">
        <v>928</v>
      </c>
      <c r="T307" s="308"/>
      <c r="V307" s="308"/>
      <c r="W307" s="308"/>
      <c r="X307" s="307" t="str">
        <f>VLOOKUP(功能_33[[#This Row],[User]],SKL放款!A:G,7,FALSE)</f>
        <v>放款審查課</v>
      </c>
      <c r="Y307" s="228" t="str">
        <f>IF(功能_33[[#This Row],[實際展示]]="","",功能_33[[#This Row],[實際展示]]+14)</f>
        <v/>
      </c>
      <c r="Z307" s="226"/>
      <c r="AA307" s="226" t="str">
        <f>IF(功能_33[[#This Row],[URS交二審]]=0,"",功能_33[[#This Row],[URS交二審]]+7)</f>
        <v/>
      </c>
      <c r="AB307" s="226"/>
      <c r="AC307" s="226"/>
      <c r="AD307" s="226"/>
      <c r="AE307" s="226"/>
      <c r="AF307" s="355"/>
      <c r="AG307" s="226" t="str">
        <f>IFERROR(IF(VLOOKUP(功能_33[[#This Row],[功能代號]],E:Q,11,FALSE)=0,"",VLOOKUP(功能_33[[#This Row],[功能代號]],E:Q,11,FALSE)),"")</f>
        <v>施美娟</v>
      </c>
      <c r="AH307" s="226"/>
      <c r="AI307" s="226"/>
      <c r="AJ307" s="307"/>
      <c r="AK307" s="226"/>
      <c r="AL307" s="308" t="s">
        <v>2848</v>
      </c>
      <c r="AN307" s="307" t="e">
        <f>VLOOKUP(功能_33[[#This Row],[功能代號]],工作表2!B:B,1,FALSE)</f>
        <v>#N/A</v>
      </c>
    </row>
    <row r="308" spans="1:40" ht="14.25" customHeight="1">
      <c r="A308" s="224">
        <v>365</v>
      </c>
      <c r="B3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307" t="s">
        <v>107</v>
      </c>
      <c r="D308" s="307" t="s">
        <v>931</v>
      </c>
      <c r="E308" s="308" t="s">
        <v>934</v>
      </c>
      <c r="F308" s="307" t="s">
        <v>935</v>
      </c>
      <c r="G308" s="307"/>
      <c r="H308" s="308" t="s">
        <v>147</v>
      </c>
      <c r="I308" s="308" t="s">
        <v>330</v>
      </c>
      <c r="J308" s="405" t="s">
        <v>2846</v>
      </c>
      <c r="K308" s="406">
        <v>44524</v>
      </c>
      <c r="L308" s="226"/>
      <c r="M308" s="226" t="str">
        <f>IFERROR(IF(VLOOKUP(功能_33[[#This Row],[功能代號]],討論項目!A:H,8,FALSE)=0,"",VLOOKUP(功能_33[[#This Row],[功能代號]],討論項目!A:H,8,FALSE)),"")</f>
        <v/>
      </c>
      <c r="N308" s="308" t="s">
        <v>7</v>
      </c>
      <c r="O308" s="308" t="s">
        <v>28</v>
      </c>
      <c r="P308" s="277" t="s">
        <v>928</v>
      </c>
      <c r="T308" s="308"/>
      <c r="V308" s="308"/>
      <c r="W308" s="308"/>
      <c r="X308" s="307" t="str">
        <f>VLOOKUP(功能_33[[#This Row],[User]],SKL放款!A:G,7,FALSE)</f>
        <v>放款審查課</v>
      </c>
      <c r="Y308" s="228" t="str">
        <f>IF(功能_33[[#This Row],[實際展示]]="","",功能_33[[#This Row],[實際展示]]+14)</f>
        <v/>
      </c>
      <c r="Z308" s="226"/>
      <c r="AA308" s="226" t="str">
        <f>IF(功能_33[[#This Row],[URS交二審]]=0,"",功能_33[[#This Row],[URS交二審]]+7)</f>
        <v/>
      </c>
      <c r="AB308" s="226"/>
      <c r="AC308" s="226"/>
      <c r="AD308" s="226"/>
      <c r="AE308" s="226"/>
      <c r="AF308" s="355"/>
      <c r="AG308" s="226" t="str">
        <f>IFERROR(IF(VLOOKUP(功能_33[[#This Row],[功能代號]],E:Q,11,FALSE)=0,"",VLOOKUP(功能_33[[#This Row],[功能代號]],E:Q,11,FALSE)),"")</f>
        <v>施美娟</v>
      </c>
      <c r="AH308" s="226"/>
      <c r="AI308" s="226"/>
      <c r="AJ308" s="307"/>
      <c r="AK308" s="226"/>
      <c r="AL308" s="308" t="s">
        <v>2848</v>
      </c>
      <c r="AN308" s="307" t="e">
        <f>VLOOKUP(功能_33[[#This Row],[功能代號]],工作表2!B:B,1,FALSE)</f>
        <v>#N/A</v>
      </c>
    </row>
    <row r="309" spans="1:40" ht="14.25" customHeight="1">
      <c r="A309" s="224">
        <v>365</v>
      </c>
      <c r="B3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307" t="s">
        <v>107</v>
      </c>
      <c r="D309" s="307" t="s">
        <v>931</v>
      </c>
      <c r="E309" s="308" t="s">
        <v>936</v>
      </c>
      <c r="F309" s="307" t="s">
        <v>937</v>
      </c>
      <c r="G309" s="307" t="s">
        <v>938</v>
      </c>
      <c r="H309" s="308" t="s">
        <v>147</v>
      </c>
      <c r="I309" s="308" t="s">
        <v>330</v>
      </c>
      <c r="J309" s="405" t="s">
        <v>2846</v>
      </c>
      <c r="K309" s="406">
        <v>44524</v>
      </c>
      <c r="L309" s="226"/>
      <c r="M309" s="226" t="str">
        <f>IFERROR(IF(VLOOKUP(功能_33[[#This Row],[功能代號]],討論項目!A:H,8,FALSE)=0,"",VLOOKUP(功能_33[[#This Row],[功能代號]],討論項目!A:H,8,FALSE)),"")</f>
        <v/>
      </c>
      <c r="N309" s="308" t="s">
        <v>7</v>
      </c>
      <c r="O309" s="308" t="s">
        <v>28</v>
      </c>
      <c r="P309" s="277" t="s">
        <v>928</v>
      </c>
      <c r="T309" s="308"/>
      <c r="V309" s="308"/>
      <c r="W309" s="308"/>
      <c r="X309" s="307" t="str">
        <f>VLOOKUP(功能_33[[#This Row],[User]],SKL放款!A:G,7,FALSE)</f>
        <v>放款審查課</v>
      </c>
      <c r="Y309" s="228" t="str">
        <f>IF(功能_33[[#This Row],[實際展示]]="","",功能_33[[#This Row],[實際展示]]+14)</f>
        <v/>
      </c>
      <c r="Z309" s="226"/>
      <c r="AA309" s="226" t="str">
        <f>IF(功能_33[[#This Row],[URS交二審]]=0,"",功能_33[[#This Row],[URS交二審]]+7)</f>
        <v/>
      </c>
      <c r="AB309" s="226"/>
      <c r="AC309" s="226"/>
      <c r="AD309" s="226"/>
      <c r="AE309" s="226"/>
      <c r="AF309" s="355"/>
      <c r="AG309" s="226" t="str">
        <f>IFERROR(IF(VLOOKUP(功能_33[[#This Row],[功能代號]],E:Q,11,FALSE)=0,"",VLOOKUP(功能_33[[#This Row],[功能代號]],E:Q,11,FALSE)),"")</f>
        <v>施美娟</v>
      </c>
      <c r="AH309" s="226"/>
      <c r="AI309" s="226"/>
      <c r="AJ309" s="307"/>
      <c r="AK309" s="226"/>
      <c r="AL309" s="308" t="s">
        <v>2848</v>
      </c>
      <c r="AN309" s="307" t="e">
        <f>VLOOKUP(功能_33[[#This Row],[功能代號]],工作表2!B:B,1,FALSE)</f>
        <v>#N/A</v>
      </c>
    </row>
    <row r="310" spans="1:40" ht="14.25" customHeight="1">
      <c r="A310" s="224">
        <v>376</v>
      </c>
      <c r="B310" s="307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0" s="307" t="s">
        <v>107</v>
      </c>
      <c r="D310" s="307" t="s">
        <v>939</v>
      </c>
      <c r="E310" s="308" t="s">
        <v>940</v>
      </c>
      <c r="F310" s="307" t="s">
        <v>941</v>
      </c>
      <c r="G310" s="307"/>
      <c r="H310" s="308" t="s">
        <v>203</v>
      </c>
      <c r="I310" s="308" t="s">
        <v>330</v>
      </c>
      <c r="J310" s="287" t="s">
        <v>2846</v>
      </c>
      <c r="K310" s="226">
        <v>44503</v>
      </c>
      <c r="L310" s="226">
        <v>44503</v>
      </c>
      <c r="M310" s="226" t="str">
        <f>IFERROR(IF(VLOOKUP(功能_33[[#This Row],[功能代號]],討論項目!A:H,8,FALSE)=0,"",VLOOKUP(功能_33[[#This Row],[功能代號]],討論項目!A:H,8,FALSE)),"")</f>
        <v/>
      </c>
      <c r="N310" s="308" t="s">
        <v>7</v>
      </c>
      <c r="O310" s="308" t="s">
        <v>22</v>
      </c>
      <c r="T310" s="308"/>
      <c r="V310" s="308"/>
      <c r="W310" s="308"/>
      <c r="X310" s="307" t="str">
        <f>VLOOKUP(功能_33[[#This Row],[User]],SKL放款!A:G,7,FALSE)</f>
        <v>放款服務課</v>
      </c>
      <c r="Y310" s="228">
        <f>IF(功能_33[[#This Row],[實際展示]]="","",功能_33[[#This Row],[實際展示]]+14)</f>
        <v>44517</v>
      </c>
      <c r="Z310" s="226" t="s">
        <v>2809</v>
      </c>
      <c r="AA310" s="226" t="e">
        <f>IF(功能_33[[#This Row],[URS交二審]]=0,"",功能_33[[#This Row],[URS交二審]]+7)</f>
        <v>#VALUE!</v>
      </c>
      <c r="AB310" s="226"/>
      <c r="AC310" s="226"/>
      <c r="AD310" s="226"/>
      <c r="AE310" s="226"/>
      <c r="AF310" s="355"/>
      <c r="AG310" s="226" t="str">
        <f>IFERROR(IF(VLOOKUP(功能_33[[#This Row],[功能代號]],E:Q,11,FALSE)=0,"",VLOOKUP(功能_33[[#This Row],[功能代號]],E:Q,11,FALSE)),"")</f>
        <v>許慧玉</v>
      </c>
      <c r="AH310" s="226"/>
      <c r="AI310" s="226"/>
      <c r="AJ310" s="307"/>
      <c r="AK310" s="226"/>
      <c r="AM310" s="307" t="s">
        <v>2849</v>
      </c>
      <c r="AN310" s="307" t="e">
        <f>VLOOKUP(功能_33[[#This Row],[功能代號]],工作表2!B:B,1,FALSE)</f>
        <v>#N/A</v>
      </c>
    </row>
    <row r="311" spans="1:40" ht="14.25" customHeight="1">
      <c r="A311" s="224">
        <v>368</v>
      </c>
      <c r="B311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307" t="s">
        <v>107</v>
      </c>
      <c r="D311" s="307" t="s">
        <v>942</v>
      </c>
      <c r="E311" s="308" t="s">
        <v>943</v>
      </c>
      <c r="F311" s="307" t="s">
        <v>944</v>
      </c>
      <c r="G311" s="307"/>
      <c r="H311" s="308" t="s">
        <v>203</v>
      </c>
      <c r="I311" s="308" t="s">
        <v>330</v>
      </c>
      <c r="J311" s="229" t="s">
        <v>2846</v>
      </c>
      <c r="K311" s="226">
        <v>44498</v>
      </c>
      <c r="L311" s="226">
        <v>44498</v>
      </c>
      <c r="M311" s="226" t="str">
        <f>IFERROR(IF(VLOOKUP(功能_33[[#This Row],[功能代號]],討論項目!A:H,8,FALSE)=0,"",VLOOKUP(功能_33[[#This Row],[功能代號]],討論項目!A:H,8,FALSE)),"")</f>
        <v/>
      </c>
      <c r="N311" s="308" t="s">
        <v>7</v>
      </c>
      <c r="O311" s="308" t="s">
        <v>24</v>
      </c>
      <c r="T311" s="308"/>
      <c r="V311" s="308"/>
      <c r="W311" s="308"/>
      <c r="X311" s="307" t="str">
        <f>VLOOKUP(功能_33[[#This Row],[User]],SKL放款!A:G,7,FALSE)</f>
        <v>放款服務課</v>
      </c>
      <c r="Y311" s="228">
        <f>IF(功能_33[[#This Row],[實際展示]]="","",功能_33[[#This Row],[實際展示]]+14)</f>
        <v>44512</v>
      </c>
      <c r="Z311" s="226" t="s">
        <v>2809</v>
      </c>
      <c r="AA311" s="226" t="e">
        <f>IF(功能_33[[#This Row],[URS交二審]]=0,"",功能_33[[#This Row],[URS交二審]]+7)</f>
        <v>#VALUE!</v>
      </c>
      <c r="AB311" s="226"/>
      <c r="AC311" s="226"/>
      <c r="AD311" s="226"/>
      <c r="AE311" s="226"/>
      <c r="AF311" s="355"/>
      <c r="AG311" s="226" t="str">
        <f>IFERROR(IF(VLOOKUP(功能_33[[#This Row],[功能代號]],E:Q,11,FALSE)=0,"",VLOOKUP(功能_33[[#This Row],[功能代號]],E:Q,11,FALSE)),"")</f>
        <v>邵淑微</v>
      </c>
      <c r="AH311" s="226"/>
      <c r="AI311" s="226"/>
      <c r="AJ311" s="307"/>
      <c r="AK311" s="226"/>
      <c r="AL311" s="308" t="s">
        <v>2848</v>
      </c>
      <c r="AN311" s="307" t="e">
        <f>VLOOKUP(功能_33[[#This Row],[功能代號]],工作表2!B:B,1,FALSE)</f>
        <v>#N/A</v>
      </c>
    </row>
    <row r="312" spans="1:40" ht="14.25" customHeight="1">
      <c r="A312" s="224">
        <v>369</v>
      </c>
      <c r="B312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307" t="s">
        <v>107</v>
      </c>
      <c r="D312" s="307" t="s">
        <v>942</v>
      </c>
      <c r="E312" s="308" t="s">
        <v>945</v>
      </c>
      <c r="F312" s="307" t="s">
        <v>946</v>
      </c>
      <c r="G312" s="307"/>
      <c r="H312" s="308" t="s">
        <v>203</v>
      </c>
      <c r="I312" s="308" t="s">
        <v>330</v>
      </c>
      <c r="J312" s="229" t="s">
        <v>2846</v>
      </c>
      <c r="K312" s="226">
        <v>44498</v>
      </c>
      <c r="L312" s="226">
        <v>44498</v>
      </c>
      <c r="M312" s="226" t="str">
        <f>IFERROR(IF(VLOOKUP(功能_33[[#This Row],[功能代號]],討論項目!A:H,8,FALSE)=0,"",VLOOKUP(功能_33[[#This Row],[功能代號]],討論項目!A:H,8,FALSE)),"")</f>
        <v/>
      </c>
      <c r="N312" s="308" t="s">
        <v>12</v>
      </c>
      <c r="O312" s="308" t="s">
        <v>24</v>
      </c>
      <c r="T312" s="308"/>
      <c r="V312" s="308"/>
      <c r="W312" s="308"/>
      <c r="X312" s="307" t="str">
        <f>VLOOKUP(功能_33[[#This Row],[User]],SKL放款!A:G,7,FALSE)</f>
        <v>放款服務課</v>
      </c>
      <c r="Y312" s="228">
        <f>IF(功能_33[[#This Row],[實際展示]]="","",功能_33[[#This Row],[實際展示]]+14)</f>
        <v>44512</v>
      </c>
      <c r="Z312" s="226" t="s">
        <v>2809</v>
      </c>
      <c r="AA312" s="226" t="e">
        <f>IF(功能_33[[#This Row],[URS交二審]]=0,"",功能_33[[#This Row],[URS交二審]]+7)</f>
        <v>#VALUE!</v>
      </c>
      <c r="AB312" s="226"/>
      <c r="AC312" s="226"/>
      <c r="AD312" s="226"/>
      <c r="AE312" s="226"/>
      <c r="AF312" s="355"/>
      <c r="AG312" s="226" t="str">
        <f>IFERROR(IF(VLOOKUP(功能_33[[#This Row],[功能代號]],E:Q,11,FALSE)=0,"",VLOOKUP(功能_33[[#This Row],[功能代號]],E:Q,11,FALSE)),"")</f>
        <v>邵淑微</v>
      </c>
      <c r="AH312" s="226"/>
      <c r="AI312" s="226"/>
      <c r="AJ312" s="307"/>
      <c r="AK312" s="226"/>
      <c r="AL312" s="410" t="s">
        <v>947</v>
      </c>
      <c r="AM312" s="411" t="s">
        <v>948</v>
      </c>
      <c r="AN312" s="307" t="e">
        <f>VLOOKUP(功能_33[[#This Row],[功能代號]],工作表2!B:B,1,FALSE)</f>
        <v>#N/A</v>
      </c>
    </row>
    <row r="313" spans="1:40" ht="14.25" customHeight="1">
      <c r="A313" s="224">
        <v>370</v>
      </c>
      <c r="B313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07" t="s">
        <v>107</v>
      </c>
      <c r="D313" s="307" t="s">
        <v>942</v>
      </c>
      <c r="E313" s="308" t="s">
        <v>949</v>
      </c>
      <c r="F313" s="307" t="s">
        <v>950</v>
      </c>
      <c r="G313" s="307"/>
      <c r="H313" s="308" t="s">
        <v>203</v>
      </c>
      <c r="I313" s="308" t="s">
        <v>330</v>
      </c>
      <c r="J313" s="229" t="s">
        <v>2846</v>
      </c>
      <c r="K313" s="226">
        <v>44498</v>
      </c>
      <c r="L313" s="226">
        <v>44498</v>
      </c>
      <c r="M313" s="226" t="str">
        <f>IFERROR(IF(VLOOKUP(功能_33[[#This Row],[功能代號]],討論項目!A:H,8,FALSE)=0,"",VLOOKUP(功能_33[[#This Row],[功能代號]],討論項目!A:H,8,FALSE)),"")</f>
        <v/>
      </c>
      <c r="N313" s="308" t="s">
        <v>7</v>
      </c>
      <c r="O313" s="308" t="s">
        <v>24</v>
      </c>
      <c r="T313" s="308"/>
      <c r="V313" s="308"/>
      <c r="W313" s="308"/>
      <c r="X313" s="307" t="str">
        <f>VLOOKUP(功能_33[[#This Row],[User]],SKL放款!A:G,7,FALSE)</f>
        <v>放款服務課</v>
      </c>
      <c r="Y313" s="228">
        <f>IF(功能_33[[#This Row],[實際展示]]="","",功能_33[[#This Row],[實際展示]]+14)</f>
        <v>44512</v>
      </c>
      <c r="Z313" s="226" t="s">
        <v>2809</v>
      </c>
      <c r="AA313" s="226" t="e">
        <f>IF(功能_33[[#This Row],[URS交二審]]=0,"",功能_33[[#This Row],[URS交二審]]+7)</f>
        <v>#VALUE!</v>
      </c>
      <c r="AB313" s="226"/>
      <c r="AC313" s="226"/>
      <c r="AD313" s="226"/>
      <c r="AE313" s="226"/>
      <c r="AF313" s="355"/>
      <c r="AG313" s="226" t="str">
        <f>IFERROR(IF(VLOOKUP(功能_33[[#This Row],[功能代號]],E:Q,11,FALSE)=0,"",VLOOKUP(功能_33[[#This Row],[功能代號]],E:Q,11,FALSE)),"")</f>
        <v>邵淑微</v>
      </c>
      <c r="AH313" s="226"/>
      <c r="AI313" s="226"/>
      <c r="AJ313" s="307"/>
      <c r="AK313" s="226"/>
      <c r="AL313" s="308" t="s">
        <v>2848</v>
      </c>
      <c r="AN313" s="307" t="e">
        <f>VLOOKUP(功能_33[[#This Row],[功能代號]],工作表2!B:B,1,FALSE)</f>
        <v>#N/A</v>
      </c>
    </row>
    <row r="314" spans="1:40" ht="14.25" customHeight="1">
      <c r="A314" s="224">
        <v>371</v>
      </c>
      <c r="B314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4" s="307" t="s">
        <v>107</v>
      </c>
      <c r="D314" s="307" t="s">
        <v>942</v>
      </c>
      <c r="E314" s="308" t="s">
        <v>951</v>
      </c>
      <c r="F314" s="307" t="s">
        <v>952</v>
      </c>
      <c r="G314" s="307"/>
      <c r="H314" s="308" t="s">
        <v>203</v>
      </c>
      <c r="I314" s="308" t="s">
        <v>330</v>
      </c>
      <c r="J314" s="229" t="s">
        <v>2846</v>
      </c>
      <c r="K314" s="226">
        <v>44498</v>
      </c>
      <c r="L314" s="226">
        <v>44498</v>
      </c>
      <c r="M314" s="226" t="str">
        <f>IFERROR(IF(VLOOKUP(功能_33[[#This Row],[功能代號]],討論項目!A:H,8,FALSE)=0,"",VLOOKUP(功能_33[[#This Row],[功能代號]],討論項目!A:H,8,FALSE)),"")</f>
        <v/>
      </c>
      <c r="N314" s="308" t="s">
        <v>7</v>
      </c>
      <c r="O314" s="308" t="s">
        <v>24</v>
      </c>
      <c r="T314" s="308"/>
      <c r="V314" s="308"/>
      <c r="W314" s="308"/>
      <c r="X314" s="307" t="str">
        <f>VLOOKUP(功能_33[[#This Row],[User]],SKL放款!A:G,7,FALSE)</f>
        <v>放款服務課</v>
      </c>
      <c r="Y314" s="228">
        <f>IF(功能_33[[#This Row],[實際展示]]="","",功能_33[[#This Row],[實際展示]]+14)</f>
        <v>44512</v>
      </c>
      <c r="Z314" s="226" t="s">
        <v>2809</v>
      </c>
      <c r="AA314" s="226" t="e">
        <f>IF(功能_33[[#This Row],[URS交二審]]=0,"",功能_33[[#This Row],[URS交二審]]+7)</f>
        <v>#VALUE!</v>
      </c>
      <c r="AB314" s="226"/>
      <c r="AC314" s="226"/>
      <c r="AD314" s="226"/>
      <c r="AE314" s="226"/>
      <c r="AF314" s="355"/>
      <c r="AG314" s="226" t="str">
        <f>IFERROR(IF(VLOOKUP(功能_33[[#This Row],[功能代號]],E:Q,11,FALSE)=0,"",VLOOKUP(功能_33[[#This Row],[功能代號]],E:Q,11,FALSE)),"")</f>
        <v>邵淑微</v>
      </c>
      <c r="AH314" s="226"/>
      <c r="AI314" s="226"/>
      <c r="AJ314" s="307"/>
      <c r="AK314" s="226"/>
      <c r="AM314" s="299" t="s">
        <v>953</v>
      </c>
      <c r="AN314" s="307" t="e">
        <f>VLOOKUP(功能_33[[#This Row],[功能代號]],工作表2!B:B,1,FALSE)</f>
        <v>#N/A</v>
      </c>
    </row>
    <row r="315" spans="1:40" ht="14.25" customHeight="1">
      <c r="A315" s="224">
        <v>372</v>
      </c>
      <c r="B315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307" t="s">
        <v>107</v>
      </c>
      <c r="D315" s="307" t="s">
        <v>942</v>
      </c>
      <c r="E315" s="308" t="s">
        <v>954</v>
      </c>
      <c r="F315" s="307" t="s">
        <v>955</v>
      </c>
      <c r="G315" s="307"/>
      <c r="H315" s="308" t="s">
        <v>203</v>
      </c>
      <c r="I315" s="308" t="s">
        <v>330</v>
      </c>
      <c r="J315" s="229" t="s">
        <v>2846</v>
      </c>
      <c r="K315" s="226">
        <v>44498</v>
      </c>
      <c r="L315" s="226">
        <v>44498</v>
      </c>
      <c r="M315" s="226" t="str">
        <f>IFERROR(IF(VLOOKUP(功能_33[[#This Row],[功能代號]],討論項目!A:H,8,FALSE)=0,"",VLOOKUP(功能_33[[#This Row],[功能代號]],討論項目!A:H,8,FALSE)),"")</f>
        <v/>
      </c>
      <c r="N315" s="308" t="s">
        <v>12</v>
      </c>
      <c r="O315" s="308" t="s">
        <v>11</v>
      </c>
      <c r="T315" s="308"/>
      <c r="V315" s="308"/>
      <c r="W315" s="308"/>
      <c r="X315" s="307" t="str">
        <f>VLOOKUP(功能_33[[#This Row],[User]],SKL放款!A:G,7,FALSE)</f>
        <v>放款服務課</v>
      </c>
      <c r="Y315" s="228">
        <f>IF(功能_33[[#This Row],[實際展示]]="","",功能_33[[#This Row],[實際展示]]+14)</f>
        <v>44512</v>
      </c>
      <c r="Z315" s="226" t="s">
        <v>2809</v>
      </c>
      <c r="AA315" s="226" t="e">
        <f>IF(功能_33[[#This Row],[URS交二審]]=0,"",功能_33[[#This Row],[URS交二審]]+7)</f>
        <v>#VALUE!</v>
      </c>
      <c r="AB315" s="226"/>
      <c r="AC315" s="226"/>
      <c r="AD315" s="226"/>
      <c r="AE315" s="226"/>
      <c r="AF315" s="355"/>
      <c r="AG315" s="226" t="str">
        <f>IFERROR(IF(VLOOKUP(功能_33[[#This Row],[功能代號]],E:Q,11,FALSE)=0,"",VLOOKUP(功能_33[[#This Row],[功能代號]],E:Q,11,FALSE)),"")</f>
        <v>蔡珮瑜</v>
      </c>
      <c r="AH315" s="226"/>
      <c r="AI315" s="226"/>
      <c r="AJ315" s="307"/>
      <c r="AK315" s="226"/>
      <c r="AL315" s="410" t="s">
        <v>956</v>
      </c>
      <c r="AM315" s="411" t="s">
        <v>957</v>
      </c>
      <c r="AN315" s="307" t="e">
        <f>VLOOKUP(功能_33[[#This Row],[功能代號]],工作表2!B:B,1,FALSE)</f>
        <v>#N/A</v>
      </c>
    </row>
    <row r="316" spans="1:40" ht="14.25" customHeight="1">
      <c r="A316" s="224">
        <v>373</v>
      </c>
      <c r="B3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307" t="s">
        <v>107</v>
      </c>
      <c r="D316" s="307" t="s">
        <v>942</v>
      </c>
      <c r="E316" s="308" t="s">
        <v>958</v>
      </c>
      <c r="F316" s="307" t="s">
        <v>957</v>
      </c>
      <c r="G316" s="307"/>
      <c r="H316" s="308" t="s">
        <v>203</v>
      </c>
      <c r="I316" s="308" t="s">
        <v>330</v>
      </c>
      <c r="J316" s="229" t="s">
        <v>2846</v>
      </c>
      <c r="K316" s="226">
        <v>44498</v>
      </c>
      <c r="L316" s="226">
        <v>44498</v>
      </c>
      <c r="M316" s="226" t="str">
        <f>IFERROR(IF(VLOOKUP(功能_33[[#This Row],[功能代號]],討論項目!A:H,8,FALSE)=0,"",VLOOKUP(功能_33[[#This Row],[功能代號]],討論項目!A:H,8,FALSE)),"")</f>
        <v/>
      </c>
      <c r="N316" s="308" t="s">
        <v>12</v>
      </c>
      <c r="O316" s="308" t="s">
        <v>24</v>
      </c>
      <c r="T316" s="308"/>
      <c r="V316" s="308"/>
      <c r="W316" s="308"/>
      <c r="X316" s="307" t="str">
        <f>VLOOKUP(功能_33[[#This Row],[User]],SKL放款!A:G,7,FALSE)</f>
        <v>放款服務課</v>
      </c>
      <c r="Y316" s="228">
        <f>IF(功能_33[[#This Row],[實際展示]]="","",功能_33[[#This Row],[實際展示]]+14)</f>
        <v>44512</v>
      </c>
      <c r="Z316" s="226" t="s">
        <v>2809</v>
      </c>
      <c r="AA316" s="226" t="e">
        <f>IF(功能_33[[#This Row],[URS交二審]]=0,"",功能_33[[#This Row],[URS交二審]]+7)</f>
        <v>#VALUE!</v>
      </c>
      <c r="AB316" s="226"/>
      <c r="AC316" s="226"/>
      <c r="AD316" s="226"/>
      <c r="AE316" s="226"/>
      <c r="AF316" s="355"/>
      <c r="AG316" s="226" t="str">
        <f>IFERROR(IF(VLOOKUP(功能_33[[#This Row],[功能代號]],E:Q,11,FALSE)=0,"",VLOOKUP(功能_33[[#This Row],[功能代號]],E:Q,11,FALSE)),"")</f>
        <v>邵淑微</v>
      </c>
      <c r="AH316" s="226"/>
      <c r="AI316" s="226"/>
      <c r="AJ316" s="307"/>
      <c r="AK316" s="226"/>
      <c r="AL316" s="410" t="s">
        <v>956</v>
      </c>
      <c r="AM316" s="411" t="s">
        <v>957</v>
      </c>
      <c r="AN316" s="307" t="e">
        <f>VLOOKUP(功能_33[[#This Row],[功能代號]],工作表2!B:B,1,FALSE)</f>
        <v>#N/A</v>
      </c>
    </row>
    <row r="317" spans="1:40" ht="14.25" customHeight="1">
      <c r="A317" s="224">
        <v>374</v>
      </c>
      <c r="B317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307" t="s">
        <v>107</v>
      </c>
      <c r="D317" s="307" t="s">
        <v>942</v>
      </c>
      <c r="E317" s="308" t="s">
        <v>959</v>
      </c>
      <c r="F317" s="307" t="s">
        <v>960</v>
      </c>
      <c r="G317" s="307"/>
      <c r="H317" s="308" t="s">
        <v>203</v>
      </c>
      <c r="I317" s="308" t="s">
        <v>330</v>
      </c>
      <c r="J317" s="229" t="s">
        <v>2846</v>
      </c>
      <c r="K317" s="226">
        <v>44498</v>
      </c>
      <c r="L317" s="226">
        <v>44498</v>
      </c>
      <c r="M317" s="226" t="str">
        <f>IFERROR(IF(VLOOKUP(功能_33[[#This Row],[功能代號]],討論項目!A:H,8,FALSE)=0,"",VLOOKUP(功能_33[[#This Row],[功能代號]],討論項目!A:H,8,FALSE)),"")</f>
        <v/>
      </c>
      <c r="N317" s="308" t="s">
        <v>12</v>
      </c>
      <c r="O317" s="308" t="s">
        <v>11</v>
      </c>
      <c r="T317" s="308"/>
      <c r="V317" s="308"/>
      <c r="W317" s="308"/>
      <c r="X317" s="307" t="str">
        <f>VLOOKUP(功能_33[[#This Row],[User]],SKL放款!A:G,7,FALSE)</f>
        <v>放款服務課</v>
      </c>
      <c r="Y317" s="228">
        <f>IF(功能_33[[#This Row],[實際展示]]="","",功能_33[[#This Row],[實際展示]]+14)</f>
        <v>44512</v>
      </c>
      <c r="Z317" s="226" t="s">
        <v>2809</v>
      </c>
      <c r="AA317" s="226" t="e">
        <f>IF(功能_33[[#This Row],[URS交二審]]=0,"",功能_33[[#This Row],[URS交二審]]+7)</f>
        <v>#VALUE!</v>
      </c>
      <c r="AB317" s="226"/>
      <c r="AC317" s="226"/>
      <c r="AD317" s="226"/>
      <c r="AE317" s="226"/>
      <c r="AF317" s="355"/>
      <c r="AG317" s="226" t="str">
        <f>IFERROR(IF(VLOOKUP(功能_33[[#This Row],[功能代號]],E:Q,11,FALSE)=0,"",VLOOKUP(功能_33[[#This Row],[功能代號]],E:Q,11,FALSE)),"")</f>
        <v>蔡珮瑜</v>
      </c>
      <c r="AH317" s="226"/>
      <c r="AI317" s="226"/>
      <c r="AJ317" s="307"/>
      <c r="AK317" s="226"/>
      <c r="AL317" s="410" t="s">
        <v>961</v>
      </c>
      <c r="AM317" s="411" t="s">
        <v>962</v>
      </c>
      <c r="AN317" s="307" t="e">
        <f>VLOOKUP(功能_33[[#This Row],[功能代號]],工作表2!B:B,1,FALSE)</f>
        <v>#N/A</v>
      </c>
    </row>
    <row r="318" spans="1:40" ht="14.25" customHeight="1">
      <c r="A318" s="224">
        <v>375</v>
      </c>
      <c r="B31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8" s="307" t="s">
        <v>107</v>
      </c>
      <c r="D318" s="307" t="s">
        <v>942</v>
      </c>
      <c r="E318" s="308" t="s">
        <v>963</v>
      </c>
      <c r="F318" s="307" t="s">
        <v>964</v>
      </c>
      <c r="G318" s="307"/>
      <c r="H318" s="308" t="s">
        <v>203</v>
      </c>
      <c r="I318" s="308" t="s">
        <v>330</v>
      </c>
      <c r="J318" s="229" t="s">
        <v>2846</v>
      </c>
      <c r="K318" s="226">
        <v>44498</v>
      </c>
      <c r="L318" s="226">
        <v>44498</v>
      </c>
      <c r="M318" s="226">
        <f>IFERROR(IF(VLOOKUP(功能_33[[#This Row],[功能代號]],討論項目!A:H,8,FALSE)=0,"",VLOOKUP(功能_33[[#This Row],[功能代號]],討論項目!A:H,8,FALSE)),"")</f>
        <v>44494</v>
      </c>
      <c r="N318" s="308" t="s">
        <v>12</v>
      </c>
      <c r="O318" s="308" t="s">
        <v>180</v>
      </c>
      <c r="P318" s="277" t="s">
        <v>14</v>
      </c>
      <c r="T318" s="308"/>
      <c r="V318" s="308"/>
      <c r="W318" s="308"/>
      <c r="X318" s="307" t="str">
        <f>VLOOKUP(功能_33[[#This Row],[User]],SKL放款!A:G,7,FALSE)</f>
        <v>放款服務課</v>
      </c>
      <c r="Y318" s="228">
        <f>IF(功能_33[[#This Row],[實際展示]]="","",功能_33[[#This Row],[實際展示]]+14)</f>
        <v>44512</v>
      </c>
      <c r="Z318" s="226" t="s">
        <v>2808</v>
      </c>
      <c r="AA318" s="226"/>
      <c r="AB318" s="226"/>
      <c r="AC318" s="226"/>
      <c r="AD318" s="226"/>
      <c r="AE318" s="226"/>
      <c r="AF318" s="355"/>
      <c r="AG318" s="226" t="str">
        <f>IFERROR(IF(VLOOKUP(功能_33[[#This Row],[功能代號]],E:Q,11,FALSE)=0,"",VLOOKUP(功能_33[[#This Row],[功能代號]],E:Q,11,FALSE)),"")</f>
        <v>陳政皓</v>
      </c>
      <c r="AH318" s="226"/>
      <c r="AI318" s="226"/>
      <c r="AJ318" s="307"/>
      <c r="AK318" s="226">
        <v>44482</v>
      </c>
      <c r="AL318" s="410" t="s">
        <v>961</v>
      </c>
      <c r="AM318" s="411" t="s">
        <v>962</v>
      </c>
      <c r="AN318" s="307" t="str">
        <f>VLOOKUP(功能_33[[#This Row],[功能代號]],工作表2!B:B,1,FALSE)</f>
        <v>L8204</v>
      </c>
    </row>
    <row r="319" spans="1:40" ht="14.25" hidden="1" customHeight="1">
      <c r="A319" s="224">
        <v>243</v>
      </c>
      <c r="B319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9" s="307" t="s">
        <v>105</v>
      </c>
      <c r="D319" s="307"/>
      <c r="E319" s="308" t="s">
        <v>965</v>
      </c>
      <c r="F319" s="307" t="s">
        <v>966</v>
      </c>
      <c r="G319" s="307"/>
      <c r="H319" s="308" t="s">
        <v>203</v>
      </c>
      <c r="I319" s="308" t="s">
        <v>239</v>
      </c>
      <c r="J319" s="405"/>
      <c r="K319" s="226">
        <v>44524</v>
      </c>
      <c r="L319" s="226"/>
      <c r="M319" s="226" t="str">
        <f>IFERROR(IF(VLOOKUP(功能_33[[#This Row],[功能代號]],討論項目!A:H,8,FALSE)=0,"",VLOOKUP(功能_33[[#This Row],[功能代號]],討論項目!A:H,8,FALSE)),"")</f>
        <v/>
      </c>
      <c r="N319" s="308" t="s">
        <v>12</v>
      </c>
      <c r="O319" s="308" t="s">
        <v>24</v>
      </c>
      <c r="T319" s="308"/>
      <c r="V319" s="308"/>
      <c r="W319" s="308"/>
      <c r="X319" s="307" t="str">
        <f>VLOOKUP(功能_33[[#This Row],[User]],SKL放款!A:G,7,FALSE)</f>
        <v>放款服務課</v>
      </c>
      <c r="Y319" s="228" t="str">
        <f>IF(功能_33[[#This Row],[實際展示]]="","",功能_33[[#This Row],[實際展示]]+14)</f>
        <v/>
      </c>
      <c r="Z319" s="226"/>
      <c r="AA319" s="226" t="str">
        <f>IF(功能_33[[#This Row],[URS交二審]]=0,"",功能_33[[#This Row],[URS交二審]]+7)</f>
        <v/>
      </c>
      <c r="AB319" s="226"/>
      <c r="AC319" s="226"/>
      <c r="AD319" s="226"/>
      <c r="AE319" s="226"/>
      <c r="AF319" s="355"/>
      <c r="AG319" s="226" t="str">
        <f>IFERROR(IF(VLOOKUP(功能_33[[#This Row],[功能代號]],E:Q,11,FALSE)=0,"",VLOOKUP(功能_33[[#This Row],[功能代號]],E:Q,11,FALSE)),"")</f>
        <v>邵淑微</v>
      </c>
      <c r="AH319" s="226"/>
      <c r="AI319" s="226"/>
      <c r="AJ319" s="307"/>
      <c r="AK319" s="226"/>
      <c r="AN319" s="307" t="e">
        <f>VLOOKUP(功能_33[[#This Row],[功能代號]],工作表2!B:B,1,FALSE)</f>
        <v>#N/A</v>
      </c>
    </row>
    <row r="320" spans="1:40" ht="14.25" customHeight="1">
      <c r="A320" s="224">
        <v>244</v>
      </c>
      <c r="B320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0" s="307" t="s">
        <v>105</v>
      </c>
      <c r="D320" s="307"/>
      <c r="E320" s="308" t="s">
        <v>967</v>
      </c>
      <c r="F320" s="277" t="s">
        <v>968</v>
      </c>
      <c r="G320" s="277"/>
      <c r="H320" s="308" t="s">
        <v>203</v>
      </c>
      <c r="I320" s="308" t="s">
        <v>330</v>
      </c>
      <c r="J320" s="287" t="s">
        <v>2845</v>
      </c>
      <c r="K320" s="226">
        <v>44503</v>
      </c>
      <c r="L320" s="226">
        <v>44503</v>
      </c>
      <c r="M320" s="226" t="str">
        <f>IFERROR(IF(VLOOKUP(功能_33[[#This Row],[功能代號]],討論項目!A:H,8,FALSE)=0,"",VLOOKUP(功能_33[[#This Row],[功能代號]],討論項目!A:H,8,FALSE)),"")</f>
        <v/>
      </c>
      <c r="N320" s="308" t="s">
        <v>8</v>
      </c>
      <c r="O320" s="308" t="s">
        <v>24</v>
      </c>
      <c r="T320" s="308"/>
      <c r="V320" s="308"/>
      <c r="W320" s="308"/>
      <c r="X320" s="307" t="str">
        <f>VLOOKUP(功能_33[[#This Row],[User]],SKL放款!A:G,7,FALSE)</f>
        <v>放款服務課</v>
      </c>
      <c r="Y320" s="228">
        <f>IF(功能_33[[#This Row],[實際展示]]="","",功能_33[[#This Row],[實際展示]]+14)</f>
        <v>44517</v>
      </c>
      <c r="Z320" s="226" t="s">
        <v>2809</v>
      </c>
      <c r="AA320" s="226" t="e">
        <f>IF(功能_33[[#This Row],[URS交二審]]=0,"",功能_33[[#This Row],[URS交二審]]+7)</f>
        <v>#VALUE!</v>
      </c>
      <c r="AB320" s="226"/>
      <c r="AC320" s="226"/>
      <c r="AD320" s="226"/>
      <c r="AE320" s="226"/>
      <c r="AF320" s="355"/>
      <c r="AG320" s="226" t="str">
        <f>IFERROR(IF(VLOOKUP(功能_33[[#This Row],[功能代號]],E:Q,11,FALSE)=0,"",VLOOKUP(功能_33[[#This Row],[功能代號]],E:Q,11,FALSE)),"")</f>
        <v>邵淑微</v>
      </c>
      <c r="AH320" s="226"/>
      <c r="AI320" s="226"/>
      <c r="AJ320" s="307"/>
      <c r="AK320" s="226"/>
      <c r="AL320" s="308" t="s">
        <v>2848</v>
      </c>
      <c r="AN320" s="307" t="e">
        <f>VLOOKUP(功能_33[[#This Row],[功能代號]],工作表2!B:B,1,FALSE)</f>
        <v>#N/A</v>
      </c>
    </row>
    <row r="321" spans="1:40" ht="14.25" customHeight="1">
      <c r="A321" s="224">
        <v>245</v>
      </c>
      <c r="B3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1" s="307" t="s">
        <v>105</v>
      </c>
      <c r="D321" s="307"/>
      <c r="E321" s="308" t="s">
        <v>969</v>
      </c>
      <c r="F321" s="307" t="s">
        <v>970</v>
      </c>
      <c r="G321" s="307"/>
      <c r="H321" s="308" t="s">
        <v>203</v>
      </c>
      <c r="I321" s="308" t="s">
        <v>330</v>
      </c>
      <c r="J321" s="287" t="s">
        <v>2845</v>
      </c>
      <c r="K321" s="226">
        <v>44503</v>
      </c>
      <c r="L321" s="226">
        <v>44503</v>
      </c>
      <c r="M321" s="226" t="str">
        <f>IFERROR(IF(VLOOKUP(功能_33[[#This Row],[功能代號]],討論項目!A:H,8,FALSE)=0,"",VLOOKUP(功能_33[[#This Row],[功能代號]],討論項目!A:H,8,FALSE)),"")</f>
        <v/>
      </c>
      <c r="N321" s="308" t="s">
        <v>8</v>
      </c>
      <c r="O321" s="308" t="s">
        <v>24</v>
      </c>
      <c r="T321" s="308"/>
      <c r="V321" s="308"/>
      <c r="W321" s="308"/>
      <c r="X321" s="307" t="str">
        <f>VLOOKUP(功能_33[[#This Row],[User]],SKL放款!A:G,7,FALSE)</f>
        <v>放款服務課</v>
      </c>
      <c r="Y321" s="228">
        <f>IF(功能_33[[#This Row],[實際展示]]="","",功能_33[[#This Row],[實際展示]]+14)</f>
        <v>44517</v>
      </c>
      <c r="Z321" s="226" t="s">
        <v>2809</v>
      </c>
      <c r="AA321" s="226" t="e">
        <f>IF(功能_33[[#This Row],[URS交二審]]=0,"",功能_33[[#This Row],[URS交二審]]+7)</f>
        <v>#VALUE!</v>
      </c>
      <c r="AB321" s="226"/>
      <c r="AC321" s="226"/>
      <c r="AD321" s="226"/>
      <c r="AE321" s="226"/>
      <c r="AF321" s="355"/>
      <c r="AG321" s="226" t="str">
        <f>IFERROR(IF(VLOOKUP(功能_33[[#This Row],[功能代號]],E:Q,11,FALSE)=0,"",VLOOKUP(功能_33[[#This Row],[功能代號]],E:Q,11,FALSE)),"")</f>
        <v>邵淑微</v>
      </c>
      <c r="AH321" s="226"/>
      <c r="AI321" s="226"/>
      <c r="AJ321" s="307"/>
      <c r="AK321" s="226"/>
      <c r="AL321" s="308" t="s">
        <v>2848</v>
      </c>
      <c r="AN321" s="307" t="e">
        <f>VLOOKUP(功能_33[[#This Row],[功能代號]],工作表2!B:B,1,FALSE)</f>
        <v>#N/A</v>
      </c>
    </row>
    <row r="322" spans="1:40" ht="14.25" customHeight="1">
      <c r="A322" s="224">
        <v>246</v>
      </c>
      <c r="B322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2" s="307" t="s">
        <v>105</v>
      </c>
      <c r="D322" s="307"/>
      <c r="E322" s="308" t="s">
        <v>971</v>
      </c>
      <c r="F322" s="307" t="s">
        <v>972</v>
      </c>
      <c r="G322" s="307"/>
      <c r="H322" s="308" t="s">
        <v>203</v>
      </c>
      <c r="I322" s="308" t="s">
        <v>330</v>
      </c>
      <c r="J322" s="287" t="s">
        <v>2845</v>
      </c>
      <c r="K322" s="226">
        <v>44503</v>
      </c>
      <c r="L322" s="226">
        <v>44503</v>
      </c>
      <c r="M322" s="226" t="str">
        <f>IFERROR(IF(VLOOKUP(功能_33[[#This Row],[功能代號]],討論項目!A:H,8,FALSE)=0,"",VLOOKUP(功能_33[[#This Row],[功能代號]],討論項目!A:H,8,FALSE)),"")</f>
        <v/>
      </c>
      <c r="N322" s="308" t="s">
        <v>8</v>
      </c>
      <c r="O322" s="308" t="s">
        <v>24</v>
      </c>
      <c r="T322" s="308"/>
      <c r="V322" s="308"/>
      <c r="W322" s="308"/>
      <c r="X322" s="307" t="str">
        <f>VLOOKUP(功能_33[[#This Row],[User]],SKL放款!A:G,7,FALSE)</f>
        <v>放款服務課</v>
      </c>
      <c r="Y322" s="228">
        <f>IF(功能_33[[#This Row],[實際展示]]="","",功能_33[[#This Row],[實際展示]]+14)</f>
        <v>44517</v>
      </c>
      <c r="Z322" s="226" t="s">
        <v>2809</v>
      </c>
      <c r="AA322" s="226" t="e">
        <f>IF(功能_33[[#This Row],[URS交二審]]=0,"",功能_33[[#This Row],[URS交二審]]+7)</f>
        <v>#VALUE!</v>
      </c>
      <c r="AB322" s="226"/>
      <c r="AC322" s="226"/>
      <c r="AD322" s="226"/>
      <c r="AE322" s="226"/>
      <c r="AF322" s="355"/>
      <c r="AG322" s="226" t="str">
        <f>IFERROR(IF(VLOOKUP(功能_33[[#This Row],[功能代號]],E:Q,11,FALSE)=0,"",VLOOKUP(功能_33[[#This Row],[功能代號]],E:Q,11,FALSE)),"")</f>
        <v>邵淑微</v>
      </c>
      <c r="AH322" s="226"/>
      <c r="AI322" s="226"/>
      <c r="AJ322" s="307"/>
      <c r="AK322" s="226"/>
      <c r="AL322" s="308" t="s">
        <v>2848</v>
      </c>
      <c r="AN322" s="307" t="e">
        <f>VLOOKUP(功能_33[[#This Row],[功能代號]],工作表2!B:B,1,FALSE)</f>
        <v>#N/A</v>
      </c>
    </row>
    <row r="323" spans="1:40" ht="14.25" customHeight="1">
      <c r="A323" s="224">
        <v>247</v>
      </c>
      <c r="B323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3" s="307" t="s">
        <v>105</v>
      </c>
      <c r="D323" s="307"/>
      <c r="E323" s="308" t="s">
        <v>973</v>
      </c>
      <c r="F323" s="307" t="s">
        <v>974</v>
      </c>
      <c r="G323" s="307"/>
      <c r="H323" s="308" t="s">
        <v>203</v>
      </c>
      <c r="I323" s="308" t="s">
        <v>330</v>
      </c>
      <c r="J323" s="287" t="s">
        <v>2845</v>
      </c>
      <c r="K323" s="226">
        <v>44503</v>
      </c>
      <c r="L323" s="226">
        <v>44503</v>
      </c>
      <c r="M323" s="226" t="str">
        <f>IFERROR(IF(VLOOKUP(功能_33[[#This Row],[功能代號]],討論項目!A:H,8,FALSE)=0,"",VLOOKUP(功能_33[[#This Row],[功能代號]],討論項目!A:H,8,FALSE)),"")</f>
        <v/>
      </c>
      <c r="N323" s="308" t="s">
        <v>8</v>
      </c>
      <c r="O323" s="308" t="s">
        <v>24</v>
      </c>
      <c r="T323" s="308"/>
      <c r="V323" s="308"/>
      <c r="W323" s="308"/>
      <c r="X323" s="307" t="str">
        <f>VLOOKUP(功能_33[[#This Row],[User]],SKL放款!A:G,7,FALSE)</f>
        <v>放款服務課</v>
      </c>
      <c r="Y323" s="228">
        <f>IF(功能_33[[#This Row],[實際展示]]="","",功能_33[[#This Row],[實際展示]]+14)</f>
        <v>44517</v>
      </c>
      <c r="Z323" s="226" t="s">
        <v>2809</v>
      </c>
      <c r="AA323" s="226" t="e">
        <f>IF(功能_33[[#This Row],[URS交二審]]=0,"",功能_33[[#This Row],[URS交二審]]+7)</f>
        <v>#VALUE!</v>
      </c>
      <c r="AB323" s="226"/>
      <c r="AC323" s="226"/>
      <c r="AD323" s="226"/>
      <c r="AE323" s="226"/>
      <c r="AF323" s="355"/>
      <c r="AG323" s="226" t="str">
        <f>IFERROR(IF(VLOOKUP(功能_33[[#This Row],[功能代號]],E:Q,11,FALSE)=0,"",VLOOKUP(功能_33[[#This Row],[功能代號]],E:Q,11,FALSE)),"")</f>
        <v>邵淑微</v>
      </c>
      <c r="AH323" s="226"/>
      <c r="AI323" s="226"/>
      <c r="AJ323" s="307"/>
      <c r="AK323" s="226"/>
      <c r="AL323" s="308" t="s">
        <v>2848</v>
      </c>
      <c r="AN323" s="307" t="e">
        <f>VLOOKUP(功能_33[[#This Row],[功能代號]],工作表2!B:B,1,FALSE)</f>
        <v>#N/A</v>
      </c>
    </row>
    <row r="324" spans="1:40" ht="14.25" customHeight="1">
      <c r="A324" s="224">
        <v>248</v>
      </c>
      <c r="B324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307" t="s">
        <v>105</v>
      </c>
      <c r="D324" s="307"/>
      <c r="E324" s="308" t="s">
        <v>975</v>
      </c>
      <c r="F324" s="307" t="s">
        <v>976</v>
      </c>
      <c r="G324" s="307"/>
      <c r="H324" s="308" t="s">
        <v>203</v>
      </c>
      <c r="I324" s="308" t="s">
        <v>330</v>
      </c>
      <c r="J324" s="287" t="s">
        <v>2845</v>
      </c>
      <c r="K324" s="265">
        <v>44504</v>
      </c>
      <c r="L324" s="226">
        <v>44505</v>
      </c>
      <c r="M324" s="226" t="str">
        <f>IFERROR(IF(VLOOKUP(功能_33[[#This Row],[功能代號]],討論項目!A:H,8,FALSE)=0,"",VLOOKUP(功能_33[[#This Row],[功能代號]],討論項目!A:H,8,FALSE)),"")</f>
        <v/>
      </c>
      <c r="N324" s="308" t="s">
        <v>8</v>
      </c>
      <c r="O324" s="308" t="s">
        <v>11</v>
      </c>
      <c r="T324" s="308"/>
      <c r="V324" s="308"/>
      <c r="W324" s="308"/>
      <c r="X324" s="307" t="str">
        <f>VLOOKUP(功能_33[[#This Row],[User]],SKL放款!A:G,7,FALSE)</f>
        <v>放款服務課</v>
      </c>
      <c r="Y324" s="228">
        <f>IF(功能_33[[#This Row],[實際展示]]="","",功能_33[[#This Row],[實際展示]]+14)</f>
        <v>44519</v>
      </c>
      <c r="Z324" s="226" t="s">
        <v>2809</v>
      </c>
      <c r="AA324" s="226" t="e">
        <f>IF(功能_33[[#This Row],[URS交二審]]=0,"",功能_33[[#This Row],[URS交二審]]+7)</f>
        <v>#VALUE!</v>
      </c>
      <c r="AB324" s="226"/>
      <c r="AC324" s="226"/>
      <c r="AD324" s="226"/>
      <c r="AE324" s="226"/>
      <c r="AF324" s="355"/>
      <c r="AG324" s="226" t="str">
        <f>IFERROR(IF(VLOOKUP(功能_33[[#This Row],[功能代號]],E:Q,11,FALSE)=0,"",VLOOKUP(功能_33[[#This Row],[功能代號]],E:Q,11,FALSE)),"")</f>
        <v>蔡珮瑜</v>
      </c>
      <c r="AH324" s="226"/>
      <c r="AI324" s="226"/>
      <c r="AJ324" s="307"/>
      <c r="AK324" s="226"/>
      <c r="AL324" s="410" t="s">
        <v>977</v>
      </c>
      <c r="AM324" s="411" t="s">
        <v>978</v>
      </c>
      <c r="AN324" s="307" t="e">
        <f>VLOOKUP(功能_33[[#This Row],[功能代號]],工作表2!B:B,1,FALSE)</f>
        <v>#N/A</v>
      </c>
    </row>
    <row r="325" spans="1:40" ht="14.25" customHeight="1">
      <c r="A325" s="224">
        <v>249</v>
      </c>
      <c r="B32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307" t="s">
        <v>105</v>
      </c>
      <c r="D325" s="307"/>
      <c r="E325" s="308" t="s">
        <v>979</v>
      </c>
      <c r="F325" s="307" t="s">
        <v>980</v>
      </c>
      <c r="G325" s="307"/>
      <c r="H325" s="308" t="s">
        <v>203</v>
      </c>
      <c r="I325" s="308" t="s">
        <v>330</v>
      </c>
      <c r="J325" s="287" t="s">
        <v>2845</v>
      </c>
      <c r="K325" s="265">
        <v>44504</v>
      </c>
      <c r="L325" s="226">
        <v>44505</v>
      </c>
      <c r="M325" s="226">
        <f>IFERROR(IF(VLOOKUP(功能_33[[#This Row],[功能代號]],討論項目!A:H,8,FALSE)=0,"",VLOOKUP(功能_33[[#This Row],[功能代號]],討論項目!A:H,8,FALSE)),"")</f>
        <v>44518</v>
      </c>
      <c r="N325" s="308" t="s">
        <v>8</v>
      </c>
      <c r="O325" s="308" t="s">
        <v>11</v>
      </c>
      <c r="T325" s="308"/>
      <c r="V325" s="308"/>
      <c r="W325" s="308"/>
      <c r="X325" s="307" t="str">
        <f>VLOOKUP(功能_33[[#This Row],[User]],SKL放款!A:G,7,FALSE)</f>
        <v>放款服務課</v>
      </c>
      <c r="Y325" s="228">
        <f>IF(功能_33[[#This Row],[實際展示]]="","",功能_33[[#This Row],[實際展示]]+14)</f>
        <v>44519</v>
      </c>
      <c r="Z325" s="226" t="s">
        <v>2809</v>
      </c>
      <c r="AA325" s="226" t="e">
        <f>IF(功能_33[[#This Row],[URS交二審]]=0,"",功能_33[[#This Row],[URS交二審]]+7)</f>
        <v>#VALUE!</v>
      </c>
      <c r="AB325" s="226"/>
      <c r="AC325" s="226"/>
      <c r="AD325" s="226"/>
      <c r="AE325" s="226"/>
      <c r="AF325" s="355"/>
      <c r="AG325" s="226" t="str">
        <f>IFERROR(IF(VLOOKUP(功能_33[[#This Row],[功能代號]],E:Q,11,FALSE)=0,"",VLOOKUP(功能_33[[#This Row],[功能代號]],E:Q,11,FALSE)),"")</f>
        <v>蔡珮瑜</v>
      </c>
      <c r="AH325" s="226"/>
      <c r="AI325" s="226"/>
      <c r="AJ325" s="307"/>
      <c r="AK325" s="226"/>
      <c r="AL325" s="410" t="s">
        <v>977</v>
      </c>
      <c r="AM325" s="411" t="s">
        <v>981</v>
      </c>
      <c r="AN325" s="307" t="e">
        <f>VLOOKUP(功能_33[[#This Row],[功能代號]],工作表2!B:B,1,FALSE)</f>
        <v>#N/A</v>
      </c>
    </row>
    <row r="326" spans="1:40" ht="14.25" customHeight="1">
      <c r="A326" s="224">
        <v>250</v>
      </c>
      <c r="B326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07" t="s">
        <v>105</v>
      </c>
      <c r="D326" s="307" t="s">
        <v>982</v>
      </c>
      <c r="E326" s="308" t="s">
        <v>983</v>
      </c>
      <c r="F326" s="307" t="s">
        <v>984</v>
      </c>
      <c r="G326" s="307"/>
      <c r="H326" s="308" t="s">
        <v>203</v>
      </c>
      <c r="I326" s="308" t="s">
        <v>2839</v>
      </c>
      <c r="J326" s="287" t="s">
        <v>2845</v>
      </c>
      <c r="K326" s="265">
        <v>44504</v>
      </c>
      <c r="L326" s="226">
        <v>44503</v>
      </c>
      <c r="M326" s="226" t="str">
        <f>IFERROR(IF(VLOOKUP(功能_33[[#This Row],[功能代號]],討論項目!A:H,8,FALSE)=0,"",VLOOKUP(功能_33[[#This Row],[功能代號]],討論項目!A:H,8,FALSE)),"")</f>
        <v/>
      </c>
      <c r="N326" s="308" t="s">
        <v>8</v>
      </c>
      <c r="O326" s="308" t="s">
        <v>28</v>
      </c>
      <c r="T326" s="308"/>
      <c r="V326" s="308"/>
      <c r="W326" s="308"/>
      <c r="X326" s="307" t="str">
        <f>VLOOKUP(功能_33[[#This Row],[User]],SKL放款!A:G,7,FALSE)</f>
        <v>放款審查課</v>
      </c>
      <c r="Y326" s="228">
        <f>IF(功能_33[[#This Row],[實際展示]]="","",功能_33[[#This Row],[實際展示]]+14)</f>
        <v>44517</v>
      </c>
      <c r="Z326" s="226" t="s">
        <v>2808</v>
      </c>
      <c r="AA326" s="226"/>
      <c r="AB326" s="226"/>
      <c r="AC326" s="226"/>
      <c r="AD326" s="226"/>
      <c r="AE326" s="226"/>
      <c r="AF326" s="355"/>
      <c r="AG326" s="226" t="str">
        <f>IFERROR(IF(VLOOKUP(功能_33[[#This Row],[功能代號]],E:Q,11,FALSE)=0,"",VLOOKUP(功能_33[[#This Row],[功能代號]],E:Q,11,FALSE)),"")</f>
        <v>施美娟</v>
      </c>
      <c r="AH326" s="226"/>
      <c r="AI326" s="226"/>
      <c r="AJ326" s="307"/>
      <c r="AK326" s="226"/>
      <c r="AL326" s="410" t="s">
        <v>985</v>
      </c>
      <c r="AM326" s="411" t="s">
        <v>986</v>
      </c>
      <c r="AN326" s="307" t="str">
        <f>VLOOKUP(功能_33[[#This Row],[功能代號]],工作表2!B:B,1,FALSE)</f>
        <v>L5902</v>
      </c>
    </row>
    <row r="327" spans="1:40" ht="14.25" customHeight="1">
      <c r="A327" s="224">
        <v>251</v>
      </c>
      <c r="B3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07" t="s">
        <v>105</v>
      </c>
      <c r="D327" s="307" t="s">
        <v>982</v>
      </c>
      <c r="E327" s="308" t="s">
        <v>987</v>
      </c>
      <c r="F327" s="307" t="s">
        <v>988</v>
      </c>
      <c r="G327" s="307"/>
      <c r="H327" s="308" t="s">
        <v>203</v>
      </c>
      <c r="I327" s="308" t="s">
        <v>2839</v>
      </c>
      <c r="J327" s="287" t="s">
        <v>2845</v>
      </c>
      <c r="K327" s="265">
        <v>44504</v>
      </c>
      <c r="L327" s="226">
        <v>44503</v>
      </c>
      <c r="M327" s="226" t="str">
        <f>IFERROR(IF(VLOOKUP(功能_33[[#This Row],[功能代號]],討論項目!A:H,8,FALSE)=0,"",VLOOKUP(功能_33[[#This Row],[功能代號]],討論項目!A:H,8,FALSE)),"")</f>
        <v/>
      </c>
      <c r="N327" s="308" t="s">
        <v>8</v>
      </c>
      <c r="O327" s="308" t="s">
        <v>28</v>
      </c>
      <c r="T327" s="308"/>
      <c r="V327" s="308"/>
      <c r="W327" s="308"/>
      <c r="X327" s="307" t="str">
        <f>VLOOKUP(功能_33[[#This Row],[User]],SKL放款!A:G,7,FALSE)</f>
        <v>放款審查課</v>
      </c>
      <c r="Y327" s="228">
        <f>IF(功能_33[[#This Row],[實際展示]]="","",功能_33[[#This Row],[實際展示]]+14)</f>
        <v>44517</v>
      </c>
      <c r="Z327" s="226" t="s">
        <v>2808</v>
      </c>
      <c r="AA327" s="226"/>
      <c r="AB327" s="226"/>
      <c r="AC327" s="226"/>
      <c r="AD327" s="226"/>
      <c r="AE327" s="226"/>
      <c r="AF327" s="355"/>
      <c r="AG327" s="226" t="str">
        <f>IFERROR(IF(VLOOKUP(功能_33[[#This Row],[功能代號]],E:Q,11,FALSE)=0,"",VLOOKUP(功能_33[[#This Row],[功能代號]],E:Q,11,FALSE)),"")</f>
        <v>施美娟</v>
      </c>
      <c r="AH327" s="226"/>
      <c r="AI327" s="226"/>
      <c r="AJ327" s="307"/>
      <c r="AK327" s="226"/>
      <c r="AL327" s="410" t="s">
        <v>985</v>
      </c>
      <c r="AM327" s="411" t="s">
        <v>986</v>
      </c>
      <c r="AN327" s="307" t="str">
        <f>VLOOKUP(功能_33[[#This Row],[功能代號]],工作表2!B:B,1,FALSE)</f>
        <v>L5102</v>
      </c>
    </row>
    <row r="328" spans="1:40" ht="14.25" customHeight="1">
      <c r="A328" s="224">
        <v>252</v>
      </c>
      <c r="B328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307" t="s">
        <v>105</v>
      </c>
      <c r="D328" s="307"/>
      <c r="E328" s="308" t="s">
        <v>989</v>
      </c>
      <c r="F328" s="307" t="s">
        <v>990</v>
      </c>
      <c r="G328" s="307"/>
      <c r="H328" s="308" t="s">
        <v>203</v>
      </c>
      <c r="I328" s="308" t="s">
        <v>330</v>
      </c>
      <c r="J328" s="287" t="s">
        <v>2845</v>
      </c>
      <c r="K328" s="265">
        <v>44504</v>
      </c>
      <c r="L328" s="226">
        <v>44505</v>
      </c>
      <c r="M328" s="226">
        <f>IFERROR(IF(VLOOKUP(功能_33[[#This Row],[功能代號]],討論項目!A:H,8,FALSE)=0,"",VLOOKUP(功能_33[[#This Row],[功能代號]],討論項目!A:H,8,FALSE)),"")</f>
        <v>44518</v>
      </c>
      <c r="N328" s="308" t="s">
        <v>8</v>
      </c>
      <c r="O328" s="308" t="s">
        <v>11</v>
      </c>
      <c r="T328" s="308"/>
      <c r="V328" s="308"/>
      <c r="W328" s="308"/>
      <c r="X328" s="307" t="str">
        <f>VLOOKUP(功能_33[[#This Row],[User]],SKL放款!A:G,7,FALSE)</f>
        <v>放款服務課</v>
      </c>
      <c r="Y328" s="228">
        <f>IF(功能_33[[#This Row],[實際展示]]="","",功能_33[[#This Row],[實際展示]]+14)</f>
        <v>44519</v>
      </c>
      <c r="Z328" s="226" t="s">
        <v>2809</v>
      </c>
      <c r="AA328" s="226" t="e">
        <f>IF(功能_33[[#This Row],[URS交二審]]=0,"",功能_33[[#This Row],[URS交二審]]+7)</f>
        <v>#VALUE!</v>
      </c>
      <c r="AB328" s="226"/>
      <c r="AC328" s="226"/>
      <c r="AD328" s="226"/>
      <c r="AE328" s="226"/>
      <c r="AF328" s="355"/>
      <c r="AG328" s="226" t="str">
        <f>IFERROR(IF(VLOOKUP(功能_33[[#This Row],[功能代號]],E:Q,11,FALSE)=0,"",VLOOKUP(功能_33[[#This Row],[功能代號]],E:Q,11,FALSE)),"")</f>
        <v>蔡珮瑜</v>
      </c>
      <c r="AH328" s="226"/>
      <c r="AI328" s="226"/>
      <c r="AJ328" s="307"/>
      <c r="AK328" s="226"/>
      <c r="AL328" s="410" t="s">
        <v>991</v>
      </c>
      <c r="AM328" s="411" t="s">
        <v>992</v>
      </c>
      <c r="AN328" s="307" t="e">
        <f>VLOOKUP(功能_33[[#This Row],[功能代號]],工作表2!B:B,1,FALSE)</f>
        <v>#N/A</v>
      </c>
    </row>
    <row r="329" spans="1:40" ht="14.25" customHeight="1">
      <c r="A329" s="224">
        <v>253</v>
      </c>
      <c r="B3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307" t="s">
        <v>105</v>
      </c>
      <c r="D329" s="307"/>
      <c r="E329" s="308" t="s">
        <v>993</v>
      </c>
      <c r="F329" s="307" t="s">
        <v>994</v>
      </c>
      <c r="G329" s="307"/>
      <c r="H329" s="308" t="s">
        <v>203</v>
      </c>
      <c r="I329" s="308" t="s">
        <v>330</v>
      </c>
      <c r="J329" s="287" t="s">
        <v>2845</v>
      </c>
      <c r="K329" s="265">
        <v>44504</v>
      </c>
      <c r="L329" s="226">
        <v>44505</v>
      </c>
      <c r="M329" s="226">
        <f>IFERROR(IF(VLOOKUP(功能_33[[#This Row],[功能代號]],討論項目!A:H,8,FALSE)=0,"",VLOOKUP(功能_33[[#This Row],[功能代號]],討論項目!A:H,8,FALSE)),"")</f>
        <v>44518</v>
      </c>
      <c r="N329" s="308" t="s">
        <v>8</v>
      </c>
      <c r="O329" s="308" t="s">
        <v>11</v>
      </c>
      <c r="T329" s="308"/>
      <c r="V329" s="308"/>
      <c r="W329" s="308"/>
      <c r="X329" s="307" t="str">
        <f>VLOOKUP(功能_33[[#This Row],[User]],SKL放款!A:G,7,FALSE)</f>
        <v>放款服務課</v>
      </c>
      <c r="Y329" s="228">
        <f>IF(功能_33[[#This Row],[實際展示]]="","",功能_33[[#This Row],[實際展示]]+14)</f>
        <v>44519</v>
      </c>
      <c r="Z329" s="226" t="s">
        <v>2809</v>
      </c>
      <c r="AA329" s="226" t="e">
        <f>IF(功能_33[[#This Row],[URS交二審]]=0,"",功能_33[[#This Row],[URS交二審]]+7)</f>
        <v>#VALUE!</v>
      </c>
      <c r="AB329" s="226"/>
      <c r="AC329" s="226"/>
      <c r="AD329" s="226"/>
      <c r="AE329" s="226"/>
      <c r="AF329" s="355"/>
      <c r="AG329" s="226" t="str">
        <f>IFERROR(IF(VLOOKUP(功能_33[[#This Row],[功能代號]],E:Q,11,FALSE)=0,"",VLOOKUP(功能_33[[#This Row],[功能代號]],E:Q,11,FALSE)),"")</f>
        <v>蔡珮瑜</v>
      </c>
      <c r="AH329" s="226"/>
      <c r="AI329" s="226"/>
      <c r="AJ329" s="307"/>
      <c r="AK329" s="226"/>
      <c r="AL329" s="410" t="s">
        <v>991</v>
      </c>
      <c r="AM329" s="411" t="s">
        <v>992</v>
      </c>
      <c r="AN329" s="307" t="e">
        <f>VLOOKUP(功能_33[[#This Row],[功能代號]],工作表2!B:B,1,FALSE)</f>
        <v>#N/A</v>
      </c>
    </row>
    <row r="330" spans="1:40" ht="14.25" customHeight="1">
      <c r="A330" s="224">
        <v>254</v>
      </c>
      <c r="B330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307" t="s">
        <v>105</v>
      </c>
      <c r="D330" s="307"/>
      <c r="E330" s="308" t="s">
        <v>995</v>
      </c>
      <c r="F330" s="307" t="s">
        <v>996</v>
      </c>
      <c r="G330" s="307"/>
      <c r="H330" s="308" t="s">
        <v>203</v>
      </c>
      <c r="I330" s="308" t="s">
        <v>330</v>
      </c>
      <c r="J330" s="287" t="s">
        <v>2845</v>
      </c>
      <c r="K330" s="265">
        <v>44504</v>
      </c>
      <c r="L330" s="226">
        <v>44505</v>
      </c>
      <c r="M330" s="226">
        <f>IFERROR(IF(VLOOKUP(功能_33[[#This Row],[功能代號]],討論項目!A:H,8,FALSE)=0,"",VLOOKUP(功能_33[[#This Row],[功能代號]],討論項目!A:H,8,FALSE)),"")</f>
        <v>44518</v>
      </c>
      <c r="N330" s="308" t="s">
        <v>8</v>
      </c>
      <c r="O330" s="308" t="s">
        <v>11</v>
      </c>
      <c r="T330" s="308"/>
      <c r="V330" s="308"/>
      <c r="W330" s="308"/>
      <c r="X330" s="307" t="str">
        <f>VLOOKUP(功能_33[[#This Row],[User]],SKL放款!A:G,7,FALSE)</f>
        <v>放款服務課</v>
      </c>
      <c r="Y330" s="228">
        <f>IF(功能_33[[#This Row],[實際展示]]="","",功能_33[[#This Row],[實際展示]]+14)</f>
        <v>44519</v>
      </c>
      <c r="Z330" s="226" t="s">
        <v>2809</v>
      </c>
      <c r="AA330" s="226" t="e">
        <f>IF(功能_33[[#This Row],[URS交二審]]=0,"",功能_33[[#This Row],[URS交二審]]+7)</f>
        <v>#VALUE!</v>
      </c>
      <c r="AB330" s="226"/>
      <c r="AC330" s="226"/>
      <c r="AD330" s="226"/>
      <c r="AE330" s="226"/>
      <c r="AF330" s="355"/>
      <c r="AG330" s="226" t="str">
        <f>IFERROR(IF(VLOOKUP(功能_33[[#This Row],[功能代號]],E:Q,11,FALSE)=0,"",VLOOKUP(功能_33[[#This Row],[功能代號]],E:Q,11,FALSE)),"")</f>
        <v>蔡珮瑜</v>
      </c>
      <c r="AH330" s="226"/>
      <c r="AI330" s="226"/>
      <c r="AJ330" s="307"/>
      <c r="AK330" s="226"/>
      <c r="AL330" s="410" t="s">
        <v>997</v>
      </c>
      <c r="AM330" s="411" t="s">
        <v>998</v>
      </c>
      <c r="AN330" s="307" t="e">
        <f>VLOOKUP(功能_33[[#This Row],[功能代號]],工作表2!B:B,1,FALSE)</f>
        <v>#N/A</v>
      </c>
    </row>
    <row r="331" spans="1:40" ht="14.25" hidden="1" customHeight="1">
      <c r="A331" s="224">
        <v>255</v>
      </c>
      <c r="B331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1" s="307" t="s">
        <v>105</v>
      </c>
      <c r="D331" s="307"/>
      <c r="E331" s="308" t="s">
        <v>999</v>
      </c>
      <c r="F331" s="307" t="s">
        <v>1000</v>
      </c>
      <c r="G331" s="307"/>
      <c r="H331" s="308" t="s">
        <v>203</v>
      </c>
      <c r="I331" s="308" t="s">
        <v>148</v>
      </c>
      <c r="J331" s="229"/>
      <c r="K331" s="266">
        <v>44505</v>
      </c>
      <c r="L331" s="226">
        <v>44504</v>
      </c>
      <c r="M331" s="226" t="str">
        <f>IFERROR(IF(VLOOKUP(功能_33[[#This Row],[功能代號]],討論項目!A:H,8,FALSE)=0,"",VLOOKUP(功能_33[[#This Row],[功能代號]],討論項目!A:H,8,FALSE)),"")</f>
        <v/>
      </c>
      <c r="N331" s="308" t="s">
        <v>10</v>
      </c>
      <c r="O331" s="308" t="s">
        <v>25</v>
      </c>
      <c r="P331" s="277" t="s">
        <v>21</v>
      </c>
      <c r="T331" s="308"/>
      <c r="V331" s="308"/>
      <c r="W331" s="308"/>
      <c r="X331" s="307" t="str">
        <f>VLOOKUP(功能_33[[#This Row],[User]],SKL放款!A:G,7,FALSE)</f>
        <v>放款管理課</v>
      </c>
      <c r="Y331" s="228">
        <f>IF(功能_33[[#This Row],[實際展示]]="","",功能_33[[#This Row],[實際展示]]+14)</f>
        <v>44518</v>
      </c>
      <c r="Z331" s="226" t="s">
        <v>2808</v>
      </c>
      <c r="AA331" s="226"/>
      <c r="AB331" s="226"/>
      <c r="AC331" s="226"/>
      <c r="AD331" s="226"/>
      <c r="AE331" s="226"/>
      <c r="AF331" s="355"/>
      <c r="AG331" s="226" t="str">
        <f>IFERROR(IF(VLOOKUP(功能_33[[#This Row],[功能代號]],E:Q,11,FALSE)=0,"",VLOOKUP(功能_33[[#This Row],[功能代號]],E:Q,11,FALSE)),"")</f>
        <v>邱怡婷</v>
      </c>
      <c r="AH331" s="226"/>
      <c r="AI331" s="226"/>
      <c r="AJ331" s="307"/>
      <c r="AK331" s="226"/>
      <c r="AN331" s="307" t="str">
        <f>VLOOKUP(功能_33[[#This Row],[功能代號]],工作表2!B:B,1,FALSE)</f>
        <v>L5905</v>
      </c>
    </row>
    <row r="332" spans="1:40" ht="14.25" hidden="1" customHeight="1">
      <c r="A332" s="224">
        <v>256</v>
      </c>
      <c r="B3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2" s="307" t="s">
        <v>105</v>
      </c>
      <c r="D332" s="307"/>
      <c r="E332" s="308" t="s">
        <v>1001</v>
      </c>
      <c r="F332" s="307" t="s">
        <v>1002</v>
      </c>
      <c r="G332" s="307"/>
      <c r="H332" s="308" t="s">
        <v>203</v>
      </c>
      <c r="I332" s="308" t="s">
        <v>148</v>
      </c>
      <c r="J332" s="229"/>
      <c r="K332" s="266">
        <v>44505</v>
      </c>
      <c r="L332" s="226">
        <v>44504</v>
      </c>
      <c r="M332" s="226" t="str">
        <f>IFERROR(IF(VLOOKUP(功能_33[[#This Row],[功能代號]],討論項目!A:H,8,FALSE)=0,"",VLOOKUP(功能_33[[#This Row],[功能代號]],討論項目!A:H,8,FALSE)),"")</f>
        <v/>
      </c>
      <c r="N332" s="308" t="s">
        <v>10</v>
      </c>
      <c r="O332" s="308" t="s">
        <v>25</v>
      </c>
      <c r="P332" s="277" t="s">
        <v>21</v>
      </c>
      <c r="T332" s="308"/>
      <c r="V332" s="308"/>
      <c r="W332" s="308"/>
      <c r="X332" s="307" t="str">
        <f>VLOOKUP(功能_33[[#This Row],[User]],SKL放款!A:G,7,FALSE)</f>
        <v>放款管理課</v>
      </c>
      <c r="Y332" s="228">
        <f>IF(功能_33[[#This Row],[實際展示]]="","",功能_33[[#This Row],[實際展示]]+14)</f>
        <v>44518</v>
      </c>
      <c r="Z332" s="226" t="s">
        <v>2808</v>
      </c>
      <c r="AA332" s="226"/>
      <c r="AB332" s="226"/>
      <c r="AC332" s="226"/>
      <c r="AD332" s="226"/>
      <c r="AE332" s="226"/>
      <c r="AF332" s="355"/>
      <c r="AG332" s="226" t="str">
        <f>IFERROR(IF(VLOOKUP(功能_33[[#This Row],[功能代號]],E:Q,11,FALSE)=0,"",VLOOKUP(功能_33[[#This Row],[功能代號]],E:Q,11,FALSE)),"")</f>
        <v>邱怡婷</v>
      </c>
      <c r="AH332" s="226"/>
      <c r="AI332" s="226"/>
      <c r="AJ332" s="307"/>
      <c r="AK332" s="226"/>
      <c r="AN332" s="307" t="str">
        <f>VLOOKUP(功能_33[[#This Row],[功能代號]],工作表2!B:B,1,FALSE)</f>
        <v>L5105</v>
      </c>
    </row>
    <row r="333" spans="1:40" ht="14.25" hidden="1" customHeight="1">
      <c r="A333" s="224">
        <v>257</v>
      </c>
      <c r="B333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3" s="307" t="s">
        <v>105</v>
      </c>
      <c r="D333" s="307"/>
      <c r="E333" s="308" t="s">
        <v>1003</v>
      </c>
      <c r="F333" s="307" t="s">
        <v>1004</v>
      </c>
      <c r="G333" s="307"/>
      <c r="H333" s="308" t="s">
        <v>203</v>
      </c>
      <c r="I333" s="308" t="s">
        <v>148</v>
      </c>
      <c r="J333" s="229"/>
      <c r="K333" s="266">
        <v>44505</v>
      </c>
      <c r="L333" s="226">
        <v>44504</v>
      </c>
      <c r="M333" s="226" t="str">
        <f>IFERROR(IF(VLOOKUP(功能_33[[#This Row],[功能代號]],討論項目!A:H,8,FALSE)=0,"",VLOOKUP(功能_33[[#This Row],[功能代號]],討論項目!A:H,8,FALSE)),"")</f>
        <v/>
      </c>
      <c r="N333" s="308" t="s">
        <v>7</v>
      </c>
      <c r="O333" s="308" t="s">
        <v>25</v>
      </c>
      <c r="P333" s="277" t="s">
        <v>21</v>
      </c>
      <c r="T333" s="308"/>
      <c r="V333" s="308"/>
      <c r="W333" s="308"/>
      <c r="X333" s="307" t="str">
        <f>VLOOKUP(功能_33[[#This Row],[User]],SKL放款!A:G,7,FALSE)</f>
        <v>放款管理課</v>
      </c>
      <c r="Y333" s="228">
        <f>IF(功能_33[[#This Row],[實際展示]]="","",功能_33[[#This Row],[實際展示]]+14)</f>
        <v>44518</v>
      </c>
      <c r="Z333" s="226" t="s">
        <v>2809</v>
      </c>
      <c r="AA333" s="226" t="e">
        <f>IF(功能_33[[#This Row],[URS交二審]]=0,"",功能_33[[#This Row],[URS交二審]]+7)</f>
        <v>#VALUE!</v>
      </c>
      <c r="AB333" s="226"/>
      <c r="AC333" s="226"/>
      <c r="AD333" s="226"/>
      <c r="AE333" s="226"/>
      <c r="AF333" s="355"/>
      <c r="AG333" s="226" t="str">
        <f>IFERROR(IF(VLOOKUP(功能_33[[#This Row],[功能代號]],E:Q,11,FALSE)=0,"",VLOOKUP(功能_33[[#This Row],[功能代號]],E:Q,11,FALSE)),"")</f>
        <v>邱怡婷</v>
      </c>
      <c r="AH333" s="226"/>
      <c r="AI333" s="226"/>
      <c r="AJ333" s="307"/>
      <c r="AK333" s="226"/>
      <c r="AN333" s="307" t="e">
        <f>VLOOKUP(功能_33[[#This Row],[功能代號]],工作表2!B:B,1,FALSE)</f>
        <v>#N/A</v>
      </c>
    </row>
    <row r="334" spans="1:40" ht="14.25" hidden="1" customHeight="1">
      <c r="A334" s="224">
        <v>258</v>
      </c>
      <c r="B334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307" t="s">
        <v>105</v>
      </c>
      <c r="D334" s="307" t="s">
        <v>1005</v>
      </c>
      <c r="E334" s="308" t="s">
        <v>1006</v>
      </c>
      <c r="F334" s="307" t="s">
        <v>1007</v>
      </c>
      <c r="G334" s="307"/>
      <c r="H334" s="308" t="s">
        <v>203</v>
      </c>
      <c r="I334" s="308" t="s">
        <v>148</v>
      </c>
      <c r="J334" s="405"/>
      <c r="K334" s="226">
        <v>44524</v>
      </c>
      <c r="L334" s="226"/>
      <c r="M334" s="226" t="str">
        <f>IFERROR(IF(VLOOKUP(功能_33[[#This Row],[功能代號]],討論項目!A:H,8,FALSE)=0,"",VLOOKUP(功能_33[[#This Row],[功能代號]],討論項目!A:H,8,FALSE)),"")</f>
        <v/>
      </c>
      <c r="N334" s="308" t="s">
        <v>7</v>
      </c>
      <c r="O334" s="395" t="s">
        <v>2762</v>
      </c>
      <c r="T334" s="308"/>
      <c r="V334" s="308"/>
      <c r="W334" s="308"/>
      <c r="X334" s="307" t="str">
        <f>VLOOKUP(功能_33[[#This Row],[User]],SKL放款!A:G,7,FALSE)</f>
        <v>放款服務課</v>
      </c>
      <c r="Y334" s="228" t="str">
        <f>IF(功能_33[[#This Row],[實際展示]]="","",功能_33[[#This Row],[實際展示]]+14)</f>
        <v/>
      </c>
      <c r="Z334" s="226"/>
      <c r="AA334" s="226" t="str">
        <f>IF(功能_33[[#This Row],[URS交二審]]=0,"",功能_33[[#This Row],[URS交二審]]+7)</f>
        <v/>
      </c>
      <c r="AB334" s="226"/>
      <c r="AC334" s="226"/>
      <c r="AD334" s="226"/>
      <c r="AE334" s="226"/>
      <c r="AF334" s="355"/>
      <c r="AG334" s="226" t="str">
        <f>IFERROR(IF(VLOOKUP(功能_33[[#This Row],[功能代號]],E:Q,11,FALSE)=0,"",VLOOKUP(功能_33[[#This Row],[功能代號]],E:Q,11,FALSE)),"")</f>
        <v>邵淑微</v>
      </c>
      <c r="AH334" s="226"/>
      <c r="AI334" s="226"/>
      <c r="AJ334" s="307"/>
      <c r="AK334" s="226"/>
      <c r="AN334" s="307" t="e">
        <f>VLOOKUP(功能_33[[#This Row],[功能代號]],工作表2!B:B,1,FALSE)</f>
        <v>#N/A</v>
      </c>
    </row>
    <row r="335" spans="1:40" ht="14.25" hidden="1" customHeight="1">
      <c r="A335" s="224">
        <v>259</v>
      </c>
      <c r="B33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307" t="s">
        <v>105</v>
      </c>
      <c r="D335" s="307" t="s">
        <v>1005</v>
      </c>
      <c r="E335" s="308" t="s">
        <v>1008</v>
      </c>
      <c r="F335" s="307" t="s">
        <v>1009</v>
      </c>
      <c r="G335" s="307"/>
      <c r="H335" s="308" t="s">
        <v>203</v>
      </c>
      <c r="I335" s="308" t="s">
        <v>148</v>
      </c>
      <c r="J335" s="405"/>
      <c r="K335" s="226">
        <v>44524</v>
      </c>
      <c r="L335" s="226"/>
      <c r="M335" s="226" t="str">
        <f>IFERROR(IF(VLOOKUP(功能_33[[#This Row],[功能代號]],討論項目!A:H,8,FALSE)=0,"",VLOOKUP(功能_33[[#This Row],[功能代號]],討論項目!A:H,8,FALSE)),"")</f>
        <v/>
      </c>
      <c r="N335" s="308" t="s">
        <v>7</v>
      </c>
      <c r="O335" s="395" t="s">
        <v>2762</v>
      </c>
      <c r="T335" s="308"/>
      <c r="V335" s="308"/>
      <c r="W335" s="308"/>
      <c r="X335" s="307" t="str">
        <f>VLOOKUP(功能_33[[#This Row],[User]],SKL放款!A:G,7,FALSE)</f>
        <v>放款服務課</v>
      </c>
      <c r="Y335" s="228" t="str">
        <f>IF(功能_33[[#This Row],[實際展示]]="","",功能_33[[#This Row],[實際展示]]+14)</f>
        <v/>
      </c>
      <c r="Z335" s="226"/>
      <c r="AA335" s="226" t="str">
        <f>IF(功能_33[[#This Row],[URS交二審]]=0,"",功能_33[[#This Row],[URS交二審]]+7)</f>
        <v/>
      </c>
      <c r="AB335" s="226"/>
      <c r="AC335" s="226"/>
      <c r="AD335" s="226"/>
      <c r="AE335" s="226"/>
      <c r="AF335" s="355"/>
      <c r="AG335" s="226" t="str">
        <f>IFERROR(IF(VLOOKUP(功能_33[[#This Row],[功能代號]],E:Q,11,FALSE)=0,"",VLOOKUP(功能_33[[#This Row],[功能代號]],E:Q,11,FALSE)),"")</f>
        <v>邵淑微</v>
      </c>
      <c r="AH335" s="226"/>
      <c r="AI335" s="226"/>
      <c r="AJ335" s="307"/>
      <c r="AK335" s="226"/>
      <c r="AN335" s="307" t="e">
        <f>VLOOKUP(功能_33[[#This Row],[功能代號]],工作表2!B:B,1,FALSE)</f>
        <v>#N/A</v>
      </c>
    </row>
    <row r="336" spans="1:40" ht="14.25" hidden="1" customHeight="1">
      <c r="A336" s="306">
        <v>255</v>
      </c>
      <c r="B336" s="307" t="s">
        <v>1010</v>
      </c>
      <c r="C336" s="307" t="s">
        <v>105</v>
      </c>
      <c r="D336" s="289"/>
      <c r="E336" s="308" t="s">
        <v>1011</v>
      </c>
      <c r="F336" s="290" t="s">
        <v>1012</v>
      </c>
      <c r="G336" s="307" t="s">
        <v>1013</v>
      </c>
      <c r="H336" s="308" t="s">
        <v>203</v>
      </c>
      <c r="I336" s="308" t="s">
        <v>148</v>
      </c>
      <c r="J336" s="287"/>
      <c r="K336" s="266">
        <v>44505</v>
      </c>
      <c r="L336" s="226">
        <v>44504</v>
      </c>
      <c r="M336" s="226"/>
      <c r="N336" s="308" t="s">
        <v>10</v>
      </c>
      <c r="O336" s="308" t="s">
        <v>25</v>
      </c>
      <c r="P336" s="277" t="s">
        <v>21</v>
      </c>
      <c r="T336" s="308"/>
      <c r="V336" s="308"/>
      <c r="W336" s="308"/>
      <c r="X336" s="307" t="s">
        <v>1014</v>
      </c>
      <c r="Y336" s="228">
        <v>44518</v>
      </c>
      <c r="Z336" s="226" t="s">
        <v>2809</v>
      </c>
      <c r="AA336" s="291"/>
      <c r="AB336" s="292"/>
      <c r="AC336" s="292"/>
      <c r="AD336" s="292"/>
      <c r="AE336" s="292"/>
      <c r="AF336" s="292"/>
      <c r="AG336" s="292" t="s">
        <v>25</v>
      </c>
      <c r="AH336" s="292"/>
      <c r="AI336" s="292"/>
      <c r="AJ336" s="307"/>
      <c r="AN336" s="307" t="e">
        <f>VLOOKUP(功能_33[[#This Row],[功能代號]],工作表2!B:B,1,FALSE)</f>
        <v>#N/A</v>
      </c>
    </row>
    <row r="337" spans="1:40" ht="14.25" hidden="1" customHeight="1">
      <c r="A337" s="306">
        <v>256</v>
      </c>
      <c r="C337" s="307" t="s">
        <v>105</v>
      </c>
      <c r="D337" s="289"/>
      <c r="E337" s="308" t="s">
        <v>1015</v>
      </c>
      <c r="F337" s="290" t="s">
        <v>1016</v>
      </c>
      <c r="G337" s="307" t="s">
        <v>1017</v>
      </c>
      <c r="H337" s="308" t="s">
        <v>203</v>
      </c>
      <c r="I337" s="308" t="s">
        <v>148</v>
      </c>
      <c r="J337" s="287"/>
      <c r="K337" s="266">
        <v>44505</v>
      </c>
      <c r="L337" s="226">
        <v>44504</v>
      </c>
      <c r="M337" s="226"/>
      <c r="N337" s="308" t="s">
        <v>10</v>
      </c>
      <c r="O337" s="308" t="s">
        <v>25</v>
      </c>
      <c r="P337" s="277" t="s">
        <v>21</v>
      </c>
      <c r="T337" s="308"/>
      <c r="V337" s="308"/>
      <c r="W337" s="308"/>
      <c r="X337" s="307" t="s">
        <v>1014</v>
      </c>
      <c r="Y337" s="228">
        <v>44518</v>
      </c>
      <c r="Z337" s="226" t="s">
        <v>2809</v>
      </c>
      <c r="AA337" s="291"/>
      <c r="AB337" s="292"/>
      <c r="AC337" s="292"/>
      <c r="AD337" s="292"/>
      <c r="AE337" s="292"/>
      <c r="AF337" s="292"/>
      <c r="AG337" s="292" t="s">
        <v>25</v>
      </c>
      <c r="AH337" s="292"/>
      <c r="AI337" s="292"/>
      <c r="AJ337" s="307"/>
      <c r="AN337" s="307" t="e">
        <f>VLOOKUP(功能_33[[#This Row],[功能代號]],工作表2!B:B,1,FALSE)</f>
        <v>#N/A</v>
      </c>
    </row>
    <row r="338" spans="1:40" ht="14.25" customHeight="1">
      <c r="A338" s="224">
        <v>124</v>
      </c>
      <c r="B338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8" s="307" t="s">
        <v>106</v>
      </c>
      <c r="D338" s="233"/>
      <c r="E338" s="308" t="s">
        <v>1018</v>
      </c>
      <c r="F338" s="307" t="s">
        <v>1019</v>
      </c>
      <c r="G338" s="307"/>
      <c r="H338" s="308" t="s">
        <v>203</v>
      </c>
      <c r="I338" s="308" t="s">
        <v>330</v>
      </c>
      <c r="J338" s="287" t="s">
        <v>2843</v>
      </c>
      <c r="K338" s="267">
        <v>44396</v>
      </c>
      <c r="L338" s="226">
        <v>44396</v>
      </c>
      <c r="M338" s="226">
        <f>IFERROR(IF(VLOOKUP(功能_33[[#This Row],[功能代號]],討論項目!A:H,8,FALSE)=0,"",VLOOKUP(功能_33[[#This Row],[功能代號]],討論項目!A:H,8,FALSE)),"")</f>
        <v>44428</v>
      </c>
      <c r="N338" s="308" t="s">
        <v>12</v>
      </c>
      <c r="O338" s="308" t="s">
        <v>541</v>
      </c>
      <c r="Q338" s="308">
        <v>1</v>
      </c>
      <c r="R338" s="308" t="s">
        <v>1020</v>
      </c>
      <c r="T338" s="308"/>
      <c r="V338" s="308"/>
      <c r="W338" s="308"/>
      <c r="X338" s="307" t="str">
        <f>VLOOKUP(功能_33[[#This Row],[User]],SKL放款!A:G,7,FALSE)</f>
        <v>放款推展課</v>
      </c>
      <c r="Y338" s="228">
        <f>IF(功能_33[[#This Row],[實際展示]]="","",功能_33[[#This Row],[實際展示]]+14)</f>
        <v>44410</v>
      </c>
      <c r="Z338" s="226" t="s">
        <v>2808</v>
      </c>
      <c r="AA338" s="226"/>
      <c r="AB338" s="226"/>
      <c r="AC338" s="226"/>
      <c r="AD338" s="226"/>
      <c r="AE338" s="226"/>
      <c r="AF338" s="355"/>
      <c r="AG338" s="226" t="str">
        <f>IFERROR(IF(VLOOKUP(功能_33[[#This Row],[功能代號]],E:Q,11,FALSE)=0,"",VLOOKUP(功能_33[[#This Row],[功能代號]],E:Q,11,FALSE)),"")</f>
        <v>張淑遠</v>
      </c>
      <c r="AH338" s="226"/>
      <c r="AI338" s="226"/>
      <c r="AJ338" s="307"/>
      <c r="AK338" s="226">
        <v>44396</v>
      </c>
      <c r="AL338" s="410" t="s">
        <v>1021</v>
      </c>
      <c r="AM338" s="411" t="s">
        <v>1022</v>
      </c>
      <c r="AN338" s="307" t="str">
        <f>VLOOKUP(功能_33[[#This Row],[功能代號]],工作表2!B:B,1,FALSE)</f>
        <v>L6082</v>
      </c>
    </row>
    <row r="339" spans="1:40" ht="14.25" customHeight="1">
      <c r="A339" s="224">
        <v>125</v>
      </c>
      <c r="B3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307" t="s">
        <v>106</v>
      </c>
      <c r="D339" s="233"/>
      <c r="E339" s="308" t="s">
        <v>1023</v>
      </c>
      <c r="F339" s="307" t="s">
        <v>1024</v>
      </c>
      <c r="G339" s="307"/>
      <c r="H339" s="308" t="s">
        <v>203</v>
      </c>
      <c r="I339" s="308" t="s">
        <v>330</v>
      </c>
      <c r="J339" s="287" t="s">
        <v>2843</v>
      </c>
      <c r="K339" s="267">
        <v>44396</v>
      </c>
      <c r="L339" s="226">
        <v>44396</v>
      </c>
      <c r="M339" s="226">
        <f>IFERROR(IF(VLOOKUP(功能_33[[#This Row],[功能代號]],討論項目!A:H,8,FALSE)=0,"",VLOOKUP(功能_33[[#This Row],[功能代號]],討論項目!A:H,8,FALSE)),"")</f>
        <v>44428</v>
      </c>
      <c r="N339" s="308" t="s">
        <v>12</v>
      </c>
      <c r="O339" s="308" t="s">
        <v>541</v>
      </c>
      <c r="Q339" s="308">
        <v>1</v>
      </c>
      <c r="R339" s="308" t="s">
        <v>1025</v>
      </c>
      <c r="T339" s="308"/>
      <c r="V339" s="308"/>
      <c r="W339" s="308"/>
      <c r="X339" s="307" t="str">
        <f>VLOOKUP(功能_33[[#This Row],[User]],SKL放款!A:G,7,FALSE)</f>
        <v>放款推展課</v>
      </c>
      <c r="Y339" s="228">
        <f>IF(功能_33[[#This Row],[實際展示]]="","",功能_33[[#This Row],[實際展示]]+14)</f>
        <v>44410</v>
      </c>
      <c r="Z339" s="226" t="s">
        <v>2808</v>
      </c>
      <c r="AA339" s="226"/>
      <c r="AB339" s="226"/>
      <c r="AC339" s="226"/>
      <c r="AD339" s="226"/>
      <c r="AE339" s="226"/>
      <c r="AF339" s="355"/>
      <c r="AG339" s="226" t="str">
        <f>IFERROR(IF(VLOOKUP(功能_33[[#This Row],[功能代號]],E:Q,11,FALSE)=0,"",VLOOKUP(功能_33[[#This Row],[功能代號]],E:Q,11,FALSE)),"")</f>
        <v>張淑遠</v>
      </c>
      <c r="AH339" s="226"/>
      <c r="AI339" s="226"/>
      <c r="AJ339" s="307"/>
      <c r="AK339" s="226">
        <v>44396</v>
      </c>
      <c r="AL339" s="410" t="s">
        <v>1021</v>
      </c>
      <c r="AM339" s="411" t="s">
        <v>1022</v>
      </c>
      <c r="AN339" s="307" t="str">
        <f>VLOOKUP(功能_33[[#This Row],[功能代號]],工作表2!B:B,1,FALSE)</f>
        <v>L6752</v>
      </c>
    </row>
    <row r="340" spans="1:40" ht="14.25" hidden="1" customHeight="1">
      <c r="A340" s="224">
        <v>126</v>
      </c>
      <c r="B340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0" s="307" t="s">
        <v>105</v>
      </c>
      <c r="D340" s="233"/>
      <c r="E340" s="308" t="s">
        <v>1026</v>
      </c>
      <c r="F340" s="307" t="s">
        <v>1027</v>
      </c>
      <c r="G340" s="307"/>
      <c r="H340" s="308" t="s">
        <v>147</v>
      </c>
      <c r="I340" s="308" t="s">
        <v>148</v>
      </c>
      <c r="J340" s="287"/>
      <c r="K340" s="267">
        <v>44396</v>
      </c>
      <c r="L340" s="226">
        <v>44396</v>
      </c>
      <c r="M340" s="226">
        <f>IFERROR(IF(VLOOKUP(功能_33[[#This Row],[功能代號]],討論項目!A:H,8,FALSE)=0,"",VLOOKUP(功能_33[[#This Row],[功能代號]],討論項目!A:H,8,FALSE)),"")</f>
        <v>44407</v>
      </c>
      <c r="N340" s="308" t="s">
        <v>12</v>
      </c>
      <c r="O340" s="308" t="s">
        <v>541</v>
      </c>
      <c r="Q340" s="308">
        <v>1</v>
      </c>
      <c r="R340" s="308" t="s">
        <v>1025</v>
      </c>
      <c r="T340" s="308"/>
      <c r="V340" s="308"/>
      <c r="W340" s="308"/>
      <c r="X340" s="307" t="str">
        <f>VLOOKUP(功能_33[[#This Row],[User]],SKL放款!A:G,7,FALSE)</f>
        <v>放款推展課</v>
      </c>
      <c r="Y340" s="228">
        <f>IF(功能_33[[#This Row],[實際展示]]="","",功能_33[[#This Row],[實際展示]]+14)</f>
        <v>44410</v>
      </c>
      <c r="Z340" s="226" t="s">
        <v>2808</v>
      </c>
      <c r="AA340" s="226"/>
      <c r="AB340" s="226"/>
      <c r="AC340" s="226"/>
      <c r="AD340" s="226"/>
      <c r="AE340" s="226"/>
      <c r="AF340" s="355"/>
      <c r="AG340" s="226" t="str">
        <f>IFERROR(IF(VLOOKUP(功能_33[[#This Row],[功能代號]],E:Q,11,FALSE)=0,"",VLOOKUP(功能_33[[#This Row],[功能代號]],E:Q,11,FALSE)),"")</f>
        <v>張淑遠</v>
      </c>
      <c r="AH340" s="226"/>
      <c r="AI340" s="226"/>
      <c r="AJ340" s="307"/>
      <c r="AK340" s="226">
        <v>44396</v>
      </c>
      <c r="AN340" s="307" t="str">
        <f>VLOOKUP(功能_33[[#This Row],[功能代號]],工作表2!B:B,1,FALSE)</f>
        <v>L5402</v>
      </c>
    </row>
    <row r="341" spans="1:40" ht="14.25" hidden="1" customHeight="1">
      <c r="A341" s="224">
        <v>127</v>
      </c>
      <c r="B341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307" t="s">
        <v>105</v>
      </c>
      <c r="D341" s="233"/>
      <c r="E341" s="308" t="s">
        <v>1028</v>
      </c>
      <c r="F341" s="307" t="s">
        <v>1029</v>
      </c>
      <c r="G341" s="307"/>
      <c r="H341" s="308" t="s">
        <v>147</v>
      </c>
      <c r="I341" s="308" t="s">
        <v>148</v>
      </c>
      <c r="J341" s="287"/>
      <c r="K341" s="267">
        <v>44396</v>
      </c>
      <c r="L341" s="226">
        <v>44396</v>
      </c>
      <c r="M341" s="226">
        <f>IFERROR(IF(VLOOKUP(功能_33[[#This Row],[功能代號]],討論項目!A:H,8,FALSE)=0,"",VLOOKUP(功能_33[[#This Row],[功能代號]],討論項目!A:H,8,FALSE)),"")</f>
        <v>44405</v>
      </c>
      <c r="N341" s="308" t="s">
        <v>12</v>
      </c>
      <c r="O341" s="308" t="s">
        <v>541</v>
      </c>
      <c r="Q341" s="308">
        <v>1</v>
      </c>
      <c r="R341" s="308" t="s">
        <v>1020</v>
      </c>
      <c r="T341" s="308"/>
      <c r="V341" s="308"/>
      <c r="W341" s="308"/>
      <c r="X341" s="307" t="str">
        <f>VLOOKUP(功能_33[[#This Row],[User]],SKL放款!A:G,7,FALSE)</f>
        <v>放款推展課</v>
      </c>
      <c r="Y341" s="228">
        <f>IF(功能_33[[#This Row],[實際展示]]="","",功能_33[[#This Row],[實際展示]]+14)</f>
        <v>44410</v>
      </c>
      <c r="Z341" s="226" t="s">
        <v>2808</v>
      </c>
      <c r="AA341" s="226"/>
      <c r="AB341" s="226"/>
      <c r="AC341" s="226"/>
      <c r="AD341" s="226"/>
      <c r="AE341" s="226"/>
      <c r="AF341" s="355"/>
      <c r="AG341" s="226" t="str">
        <f>IFERROR(IF(VLOOKUP(功能_33[[#This Row],[功能代號]],E:Q,11,FALSE)=0,"",VLOOKUP(功能_33[[#This Row],[功能代號]],E:Q,11,FALSE)),"")</f>
        <v>張淑遠</v>
      </c>
      <c r="AH341" s="226"/>
      <c r="AI341" s="226"/>
      <c r="AJ341" s="307"/>
      <c r="AK341" s="226">
        <v>44396</v>
      </c>
      <c r="AN341" s="307" t="str">
        <f>VLOOKUP(功能_33[[#This Row],[功能代號]],工作表2!B:B,1,FALSE)</f>
        <v>L5021</v>
      </c>
    </row>
    <row r="342" spans="1:40" ht="14.25" hidden="1" customHeight="1">
      <c r="A342" s="224">
        <v>128</v>
      </c>
      <c r="B3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07" t="s">
        <v>105</v>
      </c>
      <c r="D342" s="233"/>
      <c r="E342" s="308" t="s">
        <v>1030</v>
      </c>
      <c r="F342" s="307" t="s">
        <v>1031</v>
      </c>
      <c r="G342" s="307"/>
      <c r="H342" s="308" t="s">
        <v>147</v>
      </c>
      <c r="I342" s="308" t="s">
        <v>148</v>
      </c>
      <c r="J342" s="287"/>
      <c r="K342" s="267">
        <v>44396</v>
      </c>
      <c r="L342" s="226">
        <v>44396</v>
      </c>
      <c r="M342" s="226">
        <f>IFERROR(IF(VLOOKUP(功能_33[[#This Row],[功能代號]],討論項目!A:H,8,FALSE)=0,"",VLOOKUP(功能_33[[#This Row],[功能代號]],討論項目!A:H,8,FALSE)),"")</f>
        <v>44407</v>
      </c>
      <c r="N342" s="308" t="s">
        <v>12</v>
      </c>
      <c r="O342" s="308" t="s">
        <v>541</v>
      </c>
      <c r="Q342" s="308">
        <v>1</v>
      </c>
      <c r="R342" s="308" t="s">
        <v>1025</v>
      </c>
      <c r="T342" s="308"/>
      <c r="V342" s="308"/>
      <c r="W342" s="308"/>
      <c r="X342" s="307" t="str">
        <f>VLOOKUP(功能_33[[#This Row],[User]],SKL放款!A:G,7,FALSE)</f>
        <v>放款推展課</v>
      </c>
      <c r="Y342" s="228">
        <f>IF(功能_33[[#This Row],[實際展示]]="","",功能_33[[#This Row],[實際展示]]+14)</f>
        <v>44410</v>
      </c>
      <c r="Z342" s="226" t="s">
        <v>2808</v>
      </c>
      <c r="AA342" s="226"/>
      <c r="AB342" s="226"/>
      <c r="AC342" s="226"/>
      <c r="AD342" s="226"/>
      <c r="AE342" s="226"/>
      <c r="AF342" s="355"/>
      <c r="AG342" s="226" t="str">
        <f>IFERROR(IF(VLOOKUP(功能_33[[#This Row],[功能代號]],E:Q,11,FALSE)=0,"",VLOOKUP(功能_33[[#This Row],[功能代號]],E:Q,11,FALSE)),"")</f>
        <v>張淑遠</v>
      </c>
      <c r="AH342" s="226"/>
      <c r="AI342" s="226"/>
      <c r="AJ342" s="307"/>
      <c r="AK342" s="226">
        <v>44396</v>
      </c>
      <c r="AN342" s="307" t="str">
        <f>VLOOKUP(功能_33[[#This Row],[功能代號]],工作表2!B:B,1,FALSE)</f>
        <v>L5401</v>
      </c>
    </row>
    <row r="343" spans="1:40" ht="14.25" hidden="1" customHeight="1">
      <c r="A343" s="224">
        <v>129</v>
      </c>
      <c r="B343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3" s="307" t="s">
        <v>105</v>
      </c>
      <c r="D343" s="233"/>
      <c r="E343" s="308" t="s">
        <v>1032</v>
      </c>
      <c r="F343" s="307" t="s">
        <v>1033</v>
      </c>
      <c r="G343" s="307"/>
      <c r="H343" s="308" t="s">
        <v>147</v>
      </c>
      <c r="I343" s="308" t="s">
        <v>148</v>
      </c>
      <c r="J343" s="287"/>
      <c r="K343" s="267">
        <v>44397</v>
      </c>
      <c r="L343" s="226">
        <v>44397</v>
      </c>
      <c r="M343" s="226">
        <f>IFERROR(IF(VLOOKUP(功能_33[[#This Row],[功能代號]],討論項目!A:H,8,FALSE)=0,"",VLOOKUP(功能_33[[#This Row],[功能代號]],討論項目!A:H,8,FALSE)),"")</f>
        <v>44407</v>
      </c>
      <c r="N343" s="308" t="s">
        <v>12</v>
      </c>
      <c r="O343" s="308" t="s">
        <v>13</v>
      </c>
      <c r="Q343" s="308">
        <v>1</v>
      </c>
      <c r="R343" s="308" t="s">
        <v>1020</v>
      </c>
      <c r="T343" s="308"/>
      <c r="V343" s="308"/>
      <c r="W343" s="308"/>
      <c r="X343" s="307" t="str">
        <f>VLOOKUP(功能_33[[#This Row],[User]],SKL放款!A:G,7,FALSE)</f>
        <v>放款推展課</v>
      </c>
      <c r="Y343" s="228">
        <f>IF(功能_33[[#This Row],[實際展示]]="","",功能_33[[#This Row],[實際展示]]+14)</f>
        <v>44411</v>
      </c>
      <c r="Z343" s="226" t="s">
        <v>2808</v>
      </c>
      <c r="AA343" s="226"/>
      <c r="AB343" s="226"/>
      <c r="AC343" s="226"/>
      <c r="AD343" s="226"/>
      <c r="AE343" s="226"/>
      <c r="AF343" s="355"/>
      <c r="AG343" s="226" t="str">
        <f>IFERROR(IF(VLOOKUP(功能_33[[#This Row],[功能代號]],E:Q,11,FALSE)=0,"",VLOOKUP(功能_33[[#This Row],[功能代號]],E:Q,11,FALSE)),"")</f>
        <v>李珮君</v>
      </c>
      <c r="AH343" s="226"/>
      <c r="AI343" s="226"/>
      <c r="AJ343" s="307"/>
      <c r="AK343" s="226">
        <v>44397</v>
      </c>
      <c r="AN343" s="307" t="str">
        <f>VLOOKUP(功能_33[[#This Row],[功能代號]],工作表2!B:B,1,FALSE)</f>
        <v>L5023</v>
      </c>
    </row>
    <row r="344" spans="1:40" ht="14.25" hidden="1" customHeight="1">
      <c r="A344" s="224">
        <v>130</v>
      </c>
      <c r="B3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07" t="s">
        <v>105</v>
      </c>
      <c r="D344" s="233"/>
      <c r="E344" s="308" t="s">
        <v>1034</v>
      </c>
      <c r="F344" s="307" t="s">
        <v>1035</v>
      </c>
      <c r="G344" s="307"/>
      <c r="H344" s="308" t="s">
        <v>147</v>
      </c>
      <c r="I344" s="308" t="s">
        <v>148</v>
      </c>
      <c r="J344" s="287"/>
      <c r="K344" s="267">
        <v>44397</v>
      </c>
      <c r="L344" s="226">
        <v>44397</v>
      </c>
      <c r="M344" s="226">
        <f>IFERROR(IF(VLOOKUP(功能_33[[#This Row],[功能代號]],討論項目!A:H,8,FALSE)=0,"",VLOOKUP(功能_33[[#This Row],[功能代號]],討論項目!A:H,8,FALSE)),"")</f>
        <v>44407</v>
      </c>
      <c r="N344" s="308" t="s">
        <v>12</v>
      </c>
      <c r="O344" s="308" t="s">
        <v>13</v>
      </c>
      <c r="Q344" s="308">
        <v>1</v>
      </c>
      <c r="R344" s="308" t="s">
        <v>1025</v>
      </c>
      <c r="T344" s="308"/>
      <c r="V344" s="308"/>
      <c r="W344" s="308"/>
      <c r="X344" s="307" t="str">
        <f>VLOOKUP(功能_33[[#This Row],[User]],SKL放款!A:G,7,FALSE)</f>
        <v>放款推展課</v>
      </c>
      <c r="Y344" s="228">
        <f>IF(功能_33[[#This Row],[實際展示]]="","",功能_33[[#This Row],[實際展示]]+14)</f>
        <v>44411</v>
      </c>
      <c r="Z344" s="226" t="s">
        <v>2808</v>
      </c>
      <c r="AA344" s="226"/>
      <c r="AB344" s="226"/>
      <c r="AC344" s="226"/>
      <c r="AD344" s="226"/>
      <c r="AE344" s="226"/>
      <c r="AF344" s="355"/>
      <c r="AG344" s="226" t="str">
        <f>IFERROR(IF(VLOOKUP(功能_33[[#This Row],[功能代號]],E:Q,11,FALSE)=0,"",VLOOKUP(功能_33[[#This Row],[功能代號]],E:Q,11,FALSE)),"")</f>
        <v>李珮君</v>
      </c>
      <c r="AH344" s="226"/>
      <c r="AI344" s="226"/>
      <c r="AJ344" s="307"/>
      <c r="AK344" s="226">
        <v>44397</v>
      </c>
      <c r="AN344" s="307" t="str">
        <f>VLOOKUP(功能_33[[#This Row],[功能代號]],工作表2!B:B,1,FALSE)</f>
        <v>L5406</v>
      </c>
    </row>
    <row r="345" spans="1:40" ht="14.25" hidden="1" customHeight="1">
      <c r="A345" s="224">
        <v>131</v>
      </c>
      <c r="B345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307" t="s">
        <v>105</v>
      </c>
      <c r="D345" s="233"/>
      <c r="E345" s="308" t="s">
        <v>1036</v>
      </c>
      <c r="F345" s="307" t="s">
        <v>1037</v>
      </c>
      <c r="G345" s="307"/>
      <c r="H345" s="308" t="s">
        <v>147</v>
      </c>
      <c r="I345" s="308" t="s">
        <v>148</v>
      </c>
      <c r="J345" s="287"/>
      <c r="K345" s="267">
        <v>44396</v>
      </c>
      <c r="L345" s="226">
        <v>44396</v>
      </c>
      <c r="M345" s="226" t="str">
        <f>IFERROR(IF(VLOOKUP(功能_33[[#This Row],[功能代號]],討論項目!A:H,8,FALSE)=0,"",VLOOKUP(功能_33[[#This Row],[功能代號]],討論項目!A:H,8,FALSE)),"")</f>
        <v/>
      </c>
      <c r="N345" s="308" t="s">
        <v>12</v>
      </c>
      <c r="O345" s="308" t="s">
        <v>541</v>
      </c>
      <c r="Q345" s="308">
        <v>1</v>
      </c>
      <c r="R345" s="308" t="s">
        <v>1020</v>
      </c>
      <c r="T345" s="308"/>
      <c r="V345" s="308"/>
      <c r="W345" s="308"/>
      <c r="X345" s="307" t="str">
        <f>VLOOKUP(功能_33[[#This Row],[User]],SKL放款!A:G,7,FALSE)</f>
        <v>放款推展課</v>
      </c>
      <c r="Y345" s="228">
        <f>IF(功能_33[[#This Row],[實際展示]]="","",功能_33[[#This Row],[實際展示]]+14)</f>
        <v>44410</v>
      </c>
      <c r="Z345" s="226" t="s">
        <v>2809</v>
      </c>
      <c r="AA345" s="226" t="e">
        <f>IF(功能_33[[#This Row],[URS交二審]]=0,"",功能_33[[#This Row],[URS交二審]]+7)</f>
        <v>#VALUE!</v>
      </c>
      <c r="AB345" s="226"/>
      <c r="AC345" s="226"/>
      <c r="AD345" s="226"/>
      <c r="AE345" s="226"/>
      <c r="AF345" s="355"/>
      <c r="AG345" s="226" t="str">
        <f>IFERROR(IF(VLOOKUP(功能_33[[#This Row],[功能代號]],E:Q,11,FALSE)=0,"",VLOOKUP(功能_33[[#This Row],[功能代號]],E:Q,11,FALSE)),"")</f>
        <v>張淑遠</v>
      </c>
      <c r="AH345" s="226"/>
      <c r="AI345" s="226"/>
      <c r="AJ345" s="307"/>
      <c r="AK345" s="226">
        <v>44396</v>
      </c>
      <c r="AN345" s="307" t="e">
        <f>VLOOKUP(功能_33[[#This Row],[功能代號]],工作表2!B:B,1,FALSE)</f>
        <v>#N/A</v>
      </c>
    </row>
    <row r="346" spans="1:40" ht="14.25" hidden="1" customHeight="1">
      <c r="A346" s="224">
        <v>132</v>
      </c>
      <c r="B3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307" t="s">
        <v>105</v>
      </c>
      <c r="D346" s="233"/>
      <c r="E346" s="308" t="s">
        <v>1038</v>
      </c>
      <c r="F346" s="307" t="s">
        <v>1039</v>
      </c>
      <c r="G346" s="307"/>
      <c r="H346" s="308" t="s">
        <v>147</v>
      </c>
      <c r="I346" s="308" t="s">
        <v>148</v>
      </c>
      <c r="J346" s="287"/>
      <c r="K346" s="267">
        <v>44396</v>
      </c>
      <c r="L346" s="226">
        <v>44396</v>
      </c>
      <c r="M346" s="226" t="str">
        <f>IFERROR(IF(VLOOKUP(功能_33[[#This Row],[功能代號]],討論項目!A:H,8,FALSE)=0,"",VLOOKUP(功能_33[[#This Row],[功能代號]],討論項目!A:H,8,FALSE)),"")</f>
        <v/>
      </c>
      <c r="N346" s="308" t="s">
        <v>12</v>
      </c>
      <c r="O346" s="308" t="s">
        <v>541</v>
      </c>
      <c r="Q346" s="308">
        <v>1</v>
      </c>
      <c r="R346" s="308" t="s">
        <v>1025</v>
      </c>
      <c r="T346" s="308"/>
      <c r="V346" s="308"/>
      <c r="W346" s="308"/>
      <c r="X346" s="307" t="str">
        <f>VLOOKUP(功能_33[[#This Row],[User]],SKL放款!A:G,7,FALSE)</f>
        <v>放款推展課</v>
      </c>
      <c r="Y346" s="228">
        <f>IF(功能_33[[#This Row],[實際展示]]="","",功能_33[[#This Row],[實際展示]]+14)</f>
        <v>44410</v>
      </c>
      <c r="Z346" s="226" t="s">
        <v>2808</v>
      </c>
      <c r="AA346" s="226"/>
      <c r="AB346" s="226"/>
      <c r="AC346" s="226"/>
      <c r="AD346" s="226"/>
      <c r="AE346" s="226"/>
      <c r="AF346" s="355"/>
      <c r="AG346" s="226" t="str">
        <f>IFERROR(IF(VLOOKUP(功能_33[[#This Row],[功能代號]],E:Q,11,FALSE)=0,"",VLOOKUP(功能_33[[#This Row],[功能代號]],E:Q,11,FALSE)),"")</f>
        <v>張淑遠</v>
      </c>
      <c r="AH346" s="226"/>
      <c r="AI346" s="226"/>
      <c r="AJ346" s="307"/>
      <c r="AK346" s="226">
        <v>44396</v>
      </c>
      <c r="AN346" s="307" t="str">
        <f>VLOOKUP(功能_33[[#This Row],[功能代號]],工作表2!B:B,1,FALSE)</f>
        <v>L5405</v>
      </c>
    </row>
    <row r="347" spans="1:40" ht="14.25" hidden="1" customHeight="1">
      <c r="A347" s="224">
        <v>133</v>
      </c>
      <c r="B347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307" t="s">
        <v>105</v>
      </c>
      <c r="D347" s="233"/>
      <c r="E347" s="308" t="s">
        <v>1040</v>
      </c>
      <c r="F347" s="307" t="s">
        <v>1041</v>
      </c>
      <c r="G347" s="307"/>
      <c r="H347" s="308" t="s">
        <v>147</v>
      </c>
      <c r="I347" s="308" t="s">
        <v>148</v>
      </c>
      <c r="J347" s="287"/>
      <c r="K347" s="267">
        <v>44397</v>
      </c>
      <c r="L347" s="226">
        <v>44397</v>
      </c>
      <c r="M347" s="226">
        <f>IFERROR(IF(VLOOKUP(功能_33[[#This Row],[功能代號]],討論項目!A:H,8,FALSE)=0,"",VLOOKUP(功能_33[[#This Row],[功能代號]],討論項目!A:H,8,FALSE)),"")</f>
        <v>44461</v>
      </c>
      <c r="N347" s="308" t="s">
        <v>12</v>
      </c>
      <c r="O347" s="308" t="s">
        <v>541</v>
      </c>
      <c r="Q347" s="308">
        <v>1</v>
      </c>
      <c r="R347" s="308" t="s">
        <v>1020</v>
      </c>
      <c r="T347" s="308"/>
      <c r="V347" s="308"/>
      <c r="W347" s="308"/>
      <c r="X347" s="307" t="str">
        <f>VLOOKUP(功能_33[[#This Row],[User]],SKL放款!A:G,7,FALSE)</f>
        <v>放款推展課</v>
      </c>
      <c r="Y347" s="228">
        <f>IF(功能_33[[#This Row],[實際展示]]="","",功能_33[[#This Row],[實際展示]]+14)</f>
        <v>44411</v>
      </c>
      <c r="Z347" s="226" t="s">
        <v>2808</v>
      </c>
      <c r="AA347" s="226"/>
      <c r="AB347" s="226"/>
      <c r="AC347" s="226"/>
      <c r="AD347" s="226"/>
      <c r="AE347" s="226"/>
      <c r="AF347" s="355"/>
      <c r="AG347" s="226" t="str">
        <f>IFERROR(IF(VLOOKUP(功能_33[[#This Row],[功能代號]],E:Q,11,FALSE)=0,"",VLOOKUP(功能_33[[#This Row],[功能代號]],E:Q,11,FALSE)),"")</f>
        <v>張淑遠</v>
      </c>
      <c r="AH347" s="226"/>
      <c r="AI347" s="226"/>
      <c r="AJ347" s="307"/>
      <c r="AK347" s="226">
        <v>44397</v>
      </c>
      <c r="AN347" s="307" t="str">
        <f>VLOOKUP(功能_33[[#This Row],[功能代號]],工作表2!B:B,1,FALSE)</f>
        <v>L5022</v>
      </c>
    </row>
    <row r="348" spans="1:40" ht="14.25" hidden="1" customHeight="1">
      <c r="A348" s="224">
        <v>165</v>
      </c>
      <c r="B348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307" t="s">
        <v>105</v>
      </c>
      <c r="D348" s="233"/>
      <c r="E348" s="308" t="s">
        <v>1042</v>
      </c>
      <c r="F348" s="307" t="s">
        <v>1043</v>
      </c>
      <c r="G348" s="307" t="s">
        <v>413</v>
      </c>
      <c r="H348" s="308" t="s">
        <v>147</v>
      </c>
      <c r="I348" s="308" t="s">
        <v>148</v>
      </c>
      <c r="J348" s="287"/>
      <c r="K348" s="267">
        <v>44397</v>
      </c>
      <c r="L348" s="226">
        <v>44397</v>
      </c>
      <c r="M348" s="226" t="str">
        <f>IFERROR(IF(VLOOKUP(功能_33[[#This Row],[功能代號]],討論項目!A:H,8,FALSE)=0,"",VLOOKUP(功能_33[[#This Row],[功能代號]],討論項目!A:H,8,FALSE)),"")</f>
        <v/>
      </c>
      <c r="N348" s="308" t="s">
        <v>12</v>
      </c>
      <c r="O348" s="308" t="s">
        <v>541</v>
      </c>
      <c r="T348" s="308"/>
      <c r="V348" s="308"/>
      <c r="W348" s="308"/>
      <c r="X348" s="307" t="str">
        <f>VLOOKUP(功能_33[[#This Row],[User]],SKL放款!A:G,7,FALSE)</f>
        <v>放款推展課</v>
      </c>
      <c r="Y348" s="228">
        <f>IF(功能_33[[#This Row],[實際展示]]="","",功能_33[[#This Row],[實際展示]]+14)</f>
        <v>44411</v>
      </c>
      <c r="Z348" s="226" t="s">
        <v>2809</v>
      </c>
      <c r="AA348" s="226" t="e">
        <f>IF(功能_33[[#This Row],[URS交二審]]=0,"",功能_33[[#This Row],[URS交二審]]+7)</f>
        <v>#VALUE!</v>
      </c>
      <c r="AB348" s="226"/>
      <c r="AC348" s="226"/>
      <c r="AD348" s="226"/>
      <c r="AE348" s="226"/>
      <c r="AF348" s="355"/>
      <c r="AG348" s="226" t="str">
        <f>IFERROR(IF(VLOOKUP(功能_33[[#This Row],[功能代號]],E:Q,11,FALSE)=0,"",VLOOKUP(功能_33[[#This Row],[功能代號]],E:Q,11,FALSE)),"")</f>
        <v>張淑遠</v>
      </c>
      <c r="AH348" s="226"/>
      <c r="AI348" s="226"/>
      <c r="AJ348" s="307"/>
      <c r="AK348" s="226"/>
      <c r="AN348" s="307" t="e">
        <f>VLOOKUP(功能_33[[#This Row],[功能代號]],工作表2!B:B,1,FALSE)</f>
        <v>#N/A</v>
      </c>
    </row>
    <row r="349" spans="1:40" ht="14.25" hidden="1" customHeight="1">
      <c r="A349" s="224">
        <v>134</v>
      </c>
      <c r="B3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307" t="s">
        <v>105</v>
      </c>
      <c r="D349" s="233"/>
      <c r="E349" s="308" t="s">
        <v>1044</v>
      </c>
      <c r="F349" s="307" t="s">
        <v>1045</v>
      </c>
      <c r="G349" s="307"/>
      <c r="H349" s="308" t="s">
        <v>147</v>
      </c>
      <c r="I349" s="308" t="s">
        <v>148</v>
      </c>
      <c r="J349" s="287"/>
      <c r="K349" s="267">
        <v>44397</v>
      </c>
      <c r="L349" s="226">
        <v>44397</v>
      </c>
      <c r="M349" s="226" t="str">
        <f>IFERROR(IF(VLOOKUP(功能_33[[#This Row],[功能代號]],討論項目!A:H,8,FALSE)=0,"",VLOOKUP(功能_33[[#This Row],[功能代號]],討論項目!A:H,8,FALSE)),"")</f>
        <v/>
      </c>
      <c r="N349" s="308" t="s">
        <v>12</v>
      </c>
      <c r="O349" s="308" t="s">
        <v>541</v>
      </c>
      <c r="Q349" s="308">
        <v>1</v>
      </c>
      <c r="R349" s="308" t="s">
        <v>1025</v>
      </c>
      <c r="T349" s="308"/>
      <c r="V349" s="308"/>
      <c r="W349" s="308"/>
      <c r="X349" s="307" t="str">
        <f>VLOOKUP(功能_33[[#This Row],[User]],SKL放款!A:G,7,FALSE)</f>
        <v>放款推展課</v>
      </c>
      <c r="Y349" s="228">
        <f>IF(功能_33[[#This Row],[實際展示]]="","",功能_33[[#This Row],[實際展示]]+14)</f>
        <v>44411</v>
      </c>
      <c r="Z349" s="226" t="s">
        <v>2808</v>
      </c>
      <c r="AA349" s="226"/>
      <c r="AB349" s="226"/>
      <c r="AC349" s="226"/>
      <c r="AD349" s="226"/>
      <c r="AE349" s="226"/>
      <c r="AF349" s="355"/>
      <c r="AG349" s="226" t="str">
        <f>IFERROR(IF(VLOOKUP(功能_33[[#This Row],[功能代號]],E:Q,11,FALSE)=0,"",VLOOKUP(功能_33[[#This Row],[功能代號]],E:Q,11,FALSE)),"")</f>
        <v>張淑遠</v>
      </c>
      <c r="AH349" s="226"/>
      <c r="AI349" s="226"/>
      <c r="AJ349" s="307"/>
      <c r="AK349" s="226">
        <v>44397</v>
      </c>
      <c r="AN349" s="307" t="str">
        <f>VLOOKUP(功能_33[[#This Row],[功能代號]],工作表2!B:B,1,FALSE)</f>
        <v>L5407</v>
      </c>
    </row>
    <row r="350" spans="1:40" ht="14.25" customHeight="1">
      <c r="A350" s="224">
        <v>135</v>
      </c>
      <c r="B350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0" s="307" t="s">
        <v>106</v>
      </c>
      <c r="D350" s="233"/>
      <c r="E350" s="308" t="s">
        <v>1046</v>
      </c>
      <c r="F350" s="307" t="s">
        <v>1047</v>
      </c>
      <c r="G350" s="307"/>
      <c r="H350" s="308" t="s">
        <v>203</v>
      </c>
      <c r="I350" s="308" t="s">
        <v>330</v>
      </c>
      <c r="J350" s="287" t="s">
        <v>2843</v>
      </c>
      <c r="K350" s="267">
        <v>44397</v>
      </c>
      <c r="L350" s="226">
        <v>44397</v>
      </c>
      <c r="M350" s="226" t="str">
        <f>IFERROR(IF(VLOOKUP(功能_33[[#This Row],[功能代號]],討論項目!A:H,8,FALSE)=0,"",VLOOKUP(功能_33[[#This Row],[功能代號]],討論項目!A:H,8,FALSE)),"")</f>
        <v/>
      </c>
      <c r="N350" s="308" t="s">
        <v>12</v>
      </c>
      <c r="O350" s="308" t="s">
        <v>541</v>
      </c>
      <c r="Q350" s="308">
        <v>1</v>
      </c>
      <c r="R350" s="308" t="s">
        <v>1020</v>
      </c>
      <c r="T350" s="308"/>
      <c r="V350" s="308"/>
      <c r="W350" s="308"/>
      <c r="X350" s="307" t="str">
        <f>VLOOKUP(功能_33[[#This Row],[User]],SKL放款!A:G,7,FALSE)</f>
        <v>放款推展課</v>
      </c>
      <c r="Y350" s="228">
        <f>IF(功能_33[[#This Row],[實際展示]]="","",功能_33[[#This Row],[實際展示]]+14)</f>
        <v>44411</v>
      </c>
      <c r="Z350" s="226" t="s">
        <v>2808</v>
      </c>
      <c r="AA350" s="226"/>
      <c r="AB350" s="226"/>
      <c r="AC350" s="226"/>
      <c r="AD350" s="226"/>
      <c r="AE350" s="226"/>
      <c r="AF350" s="355"/>
      <c r="AG350" s="226" t="str">
        <f>IFERROR(IF(VLOOKUP(功能_33[[#This Row],[功能代號]],E:Q,11,FALSE)=0,"",VLOOKUP(功能_33[[#This Row],[功能代號]],E:Q,11,FALSE)),"")</f>
        <v>張淑遠</v>
      </c>
      <c r="AH350" s="226"/>
      <c r="AI350" s="226"/>
      <c r="AJ350" s="307"/>
      <c r="AK350" s="226"/>
      <c r="AL350" s="410" t="s">
        <v>1048</v>
      </c>
      <c r="AM350" s="411" t="s">
        <v>1049</v>
      </c>
      <c r="AN350" s="307" t="str">
        <f>VLOOKUP(功能_33[[#This Row],[功能代號]],工作表2!B:B,1,FALSE)</f>
        <v>L6083</v>
      </c>
    </row>
    <row r="351" spans="1:40" ht="14.25" customHeight="1">
      <c r="A351" s="224">
        <v>136</v>
      </c>
      <c r="B3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07" t="s">
        <v>106</v>
      </c>
      <c r="D351" s="233"/>
      <c r="E351" s="308" t="s">
        <v>1050</v>
      </c>
      <c r="F351" s="307" t="s">
        <v>1051</v>
      </c>
      <c r="G351" s="307"/>
      <c r="H351" s="308" t="s">
        <v>203</v>
      </c>
      <c r="I351" s="308" t="s">
        <v>330</v>
      </c>
      <c r="J351" s="287" t="s">
        <v>2843</v>
      </c>
      <c r="K351" s="267">
        <v>44397</v>
      </c>
      <c r="L351" s="226">
        <v>44397</v>
      </c>
      <c r="M351" s="226" t="str">
        <f>IFERROR(IF(VLOOKUP(功能_33[[#This Row],[功能代號]],討論項目!A:H,8,FALSE)=0,"",VLOOKUP(功能_33[[#This Row],[功能代號]],討論項目!A:H,8,FALSE)),"")</f>
        <v/>
      </c>
      <c r="N351" s="308" t="s">
        <v>12</v>
      </c>
      <c r="O351" s="308" t="s">
        <v>541</v>
      </c>
      <c r="Q351" s="308">
        <v>1</v>
      </c>
      <c r="R351" s="308" t="s">
        <v>1025</v>
      </c>
      <c r="T351" s="308"/>
      <c r="V351" s="308"/>
      <c r="W351" s="308"/>
      <c r="X351" s="307" t="str">
        <f>VLOOKUP(功能_33[[#This Row],[User]],SKL放款!A:G,7,FALSE)</f>
        <v>放款推展課</v>
      </c>
      <c r="Y351" s="228">
        <f>IF(功能_33[[#This Row],[實際展示]]="","",功能_33[[#This Row],[實際展示]]+14)</f>
        <v>44411</v>
      </c>
      <c r="Z351" s="226" t="s">
        <v>2808</v>
      </c>
      <c r="AA351" s="226"/>
      <c r="AB351" s="226"/>
      <c r="AC351" s="226"/>
      <c r="AD351" s="226"/>
      <c r="AE351" s="226"/>
      <c r="AF351" s="355"/>
      <c r="AG351" s="226" t="str">
        <f>IFERROR(IF(VLOOKUP(功能_33[[#This Row],[功能代號]],E:Q,11,FALSE)=0,"",VLOOKUP(功能_33[[#This Row],[功能代號]],E:Q,11,FALSE)),"")</f>
        <v>張淑遠</v>
      </c>
      <c r="AH351" s="226"/>
      <c r="AI351" s="226"/>
      <c r="AJ351" s="307"/>
      <c r="AK351" s="226"/>
      <c r="AL351" s="410" t="s">
        <v>1048</v>
      </c>
      <c r="AM351" s="411" t="s">
        <v>1049</v>
      </c>
      <c r="AN351" s="307" t="str">
        <f>VLOOKUP(功能_33[[#This Row],[功能代號]],工作表2!B:B,1,FALSE)</f>
        <v>L6753</v>
      </c>
    </row>
    <row r="352" spans="1:40" ht="14.25" customHeight="1">
      <c r="A352" s="224">
        <v>137</v>
      </c>
      <c r="B352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2" s="307" t="s">
        <v>106</v>
      </c>
      <c r="D352" s="234"/>
      <c r="E352" s="308" t="s">
        <v>1052</v>
      </c>
      <c r="F352" s="307" t="s">
        <v>1053</v>
      </c>
      <c r="G352" s="307"/>
      <c r="H352" s="308" t="s">
        <v>203</v>
      </c>
      <c r="I352" s="308" t="s">
        <v>330</v>
      </c>
      <c r="J352" s="287" t="s">
        <v>2843</v>
      </c>
      <c r="K352" s="267">
        <v>44398</v>
      </c>
      <c r="L352" s="226">
        <v>44398</v>
      </c>
      <c r="M352" s="226" t="str">
        <f>IFERROR(IF(VLOOKUP(功能_33[[#This Row],[功能代號]],討論項目!A:H,8,FALSE)=0,"",VLOOKUP(功能_33[[#This Row],[功能代號]],討論項目!A:H,8,FALSE)),"")</f>
        <v/>
      </c>
      <c r="N352" s="308" t="s">
        <v>12</v>
      </c>
      <c r="O352" s="308" t="s">
        <v>541</v>
      </c>
      <c r="T352" s="308"/>
      <c r="V352" s="308"/>
      <c r="W352" s="308"/>
      <c r="X352" s="307" t="str">
        <f>VLOOKUP(功能_33[[#This Row],[User]],SKL放款!A:G,7,FALSE)</f>
        <v>放款推展課</v>
      </c>
      <c r="Y352" s="228">
        <f>IF(功能_33[[#This Row],[實際展示]]="","",功能_33[[#This Row],[實際展示]]+14)</f>
        <v>44412</v>
      </c>
      <c r="Z352" s="226" t="s">
        <v>2809</v>
      </c>
      <c r="AA352" s="226" t="e">
        <f>IF(功能_33[[#This Row],[URS交二審]]=0,"",功能_33[[#This Row],[URS交二審]]+7)</f>
        <v>#VALUE!</v>
      </c>
      <c r="AB352" s="226"/>
      <c r="AC352" s="226"/>
      <c r="AD352" s="226"/>
      <c r="AE352" s="226"/>
      <c r="AF352" s="355"/>
      <c r="AG352" s="226" t="str">
        <f>IFERROR(IF(VLOOKUP(功能_33[[#This Row],[功能代號]],E:Q,11,FALSE)=0,"",VLOOKUP(功能_33[[#This Row],[功能代號]],E:Q,11,FALSE)),"")</f>
        <v>張淑遠</v>
      </c>
      <c r="AH352" s="226"/>
      <c r="AI352" s="226"/>
      <c r="AJ352" s="307"/>
      <c r="AK352" s="226">
        <v>44398</v>
      </c>
      <c r="AL352" s="308" t="s">
        <v>2848</v>
      </c>
      <c r="AN352" s="307" t="e">
        <f>VLOOKUP(功能_33[[#This Row],[功能代號]],工作表2!B:B,1,FALSE)</f>
        <v>#N/A</v>
      </c>
    </row>
    <row r="353" spans="1:40" ht="14.25" hidden="1" customHeight="1">
      <c r="A353" s="224">
        <v>138</v>
      </c>
      <c r="B3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07" t="s">
        <v>106</v>
      </c>
      <c r="D353" s="234"/>
      <c r="E353" s="308" t="s">
        <v>1054</v>
      </c>
      <c r="F353" s="307" t="s">
        <v>1055</v>
      </c>
      <c r="G353" s="307"/>
      <c r="H353" s="308" t="s">
        <v>147</v>
      </c>
      <c r="I353" s="308" t="s">
        <v>148</v>
      </c>
      <c r="J353" s="287"/>
      <c r="K353" s="267">
        <v>44398</v>
      </c>
      <c r="L353" s="226">
        <v>44398</v>
      </c>
      <c r="M353" s="226" t="str">
        <f>IFERROR(IF(VLOOKUP(功能_33[[#This Row],[功能代號]],討論項目!A:H,8,FALSE)=0,"",VLOOKUP(功能_33[[#This Row],[功能代號]],討論項目!A:H,8,FALSE)),"")</f>
        <v/>
      </c>
      <c r="N353" s="308" t="s">
        <v>12</v>
      </c>
      <c r="O353" s="308" t="s">
        <v>541</v>
      </c>
      <c r="T353" s="308"/>
      <c r="V353" s="308"/>
      <c r="W353" s="308"/>
      <c r="X353" s="307" t="str">
        <f>VLOOKUP(功能_33[[#This Row],[User]],SKL放款!A:G,7,FALSE)</f>
        <v>放款推展課</v>
      </c>
      <c r="Y353" s="228">
        <f>IF(功能_33[[#This Row],[實際展示]]="","",功能_33[[#This Row],[實際展示]]+14)</f>
        <v>44412</v>
      </c>
      <c r="Z353" s="226" t="s">
        <v>2808</v>
      </c>
      <c r="AA353" s="226"/>
      <c r="AB353" s="226"/>
      <c r="AC353" s="226"/>
      <c r="AD353" s="226"/>
      <c r="AE353" s="226"/>
      <c r="AF353" s="355"/>
      <c r="AG353" s="226" t="str">
        <f>IFERROR(IF(VLOOKUP(功能_33[[#This Row],[功能代號]],E:Q,11,FALSE)=0,"",VLOOKUP(功能_33[[#This Row],[功能代號]],E:Q,11,FALSE)),"")</f>
        <v>張淑遠</v>
      </c>
      <c r="AH353" s="226"/>
      <c r="AI353" s="226"/>
      <c r="AJ353" s="307"/>
      <c r="AK353" s="226">
        <v>44398</v>
      </c>
      <c r="AN353" s="307" t="str">
        <f>VLOOKUP(功能_33[[#This Row],[功能代號]],工作表2!B:B,1,FALSE)</f>
        <v>L6994</v>
      </c>
    </row>
    <row r="354" spans="1:40" ht="14.25" customHeight="1">
      <c r="A354" s="224">
        <v>139</v>
      </c>
      <c r="B3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307" t="s">
        <v>106</v>
      </c>
      <c r="D354" s="234"/>
      <c r="E354" s="308" t="s">
        <v>1056</v>
      </c>
      <c r="F354" s="307" t="s">
        <v>1057</v>
      </c>
      <c r="G354" s="307"/>
      <c r="H354" s="308" t="s">
        <v>203</v>
      </c>
      <c r="I354" s="308" t="s">
        <v>330</v>
      </c>
      <c r="J354" s="287" t="s">
        <v>2843</v>
      </c>
      <c r="K354" s="267">
        <v>44398</v>
      </c>
      <c r="L354" s="226">
        <v>44398</v>
      </c>
      <c r="M354" s="226">
        <f>IFERROR(IF(VLOOKUP(功能_33[[#This Row],[功能代號]],討論項目!A:H,8,FALSE)=0,"",VLOOKUP(功能_33[[#This Row],[功能代號]],討論項目!A:H,8,FALSE)),"")</f>
        <v>44428</v>
      </c>
      <c r="N354" s="308" t="s">
        <v>12</v>
      </c>
      <c r="O354" s="308" t="s">
        <v>180</v>
      </c>
      <c r="T354" s="308"/>
      <c r="V354" s="308"/>
      <c r="W354" s="308"/>
      <c r="X354" s="307" t="str">
        <f>VLOOKUP(功能_33[[#This Row],[User]],SKL放款!A:G,7,FALSE)</f>
        <v>放款服務課</v>
      </c>
      <c r="Y354" s="228">
        <f>IF(功能_33[[#This Row],[實際展示]]="","",功能_33[[#This Row],[實際展示]]+14)</f>
        <v>44412</v>
      </c>
      <c r="Z354" s="226" t="s">
        <v>2808</v>
      </c>
      <c r="AA354" s="226"/>
      <c r="AB354" s="226"/>
      <c r="AC354" s="226"/>
      <c r="AD354" s="226"/>
      <c r="AE354" s="226"/>
      <c r="AF354" s="355"/>
      <c r="AG354" s="226" t="str">
        <f>IFERROR(IF(VLOOKUP(功能_33[[#This Row],[功能代號]],E:Q,11,FALSE)=0,"",VLOOKUP(功能_33[[#This Row],[功能代號]],E:Q,11,FALSE)),"")</f>
        <v>陳政皓</v>
      </c>
      <c r="AH354" s="226"/>
      <c r="AI354" s="226"/>
      <c r="AJ354" s="307"/>
      <c r="AK354" s="226">
        <v>44398</v>
      </c>
      <c r="AL354" s="308" t="s">
        <v>2848</v>
      </c>
      <c r="AN354" s="307" t="str">
        <f>VLOOKUP(功能_33[[#This Row],[功能代號]],工作表2!B:B,1,FALSE)</f>
        <v>L6754</v>
      </c>
    </row>
    <row r="355" spans="1:40" ht="14.25" hidden="1" customHeight="1">
      <c r="A355" s="224">
        <v>140</v>
      </c>
      <c r="B3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07" t="s">
        <v>106</v>
      </c>
      <c r="D355" s="234"/>
      <c r="E355" s="308" t="s">
        <v>1058</v>
      </c>
      <c r="F355" s="307" t="s">
        <v>1059</v>
      </c>
      <c r="G355" s="307"/>
      <c r="H355" s="308" t="s">
        <v>147</v>
      </c>
      <c r="I355" s="308" t="s">
        <v>148</v>
      </c>
      <c r="J355" s="287"/>
      <c r="K355" s="267">
        <v>44398</v>
      </c>
      <c r="L355" s="226">
        <v>44398</v>
      </c>
      <c r="M355" s="226" t="str">
        <f>IFERROR(IF(VLOOKUP(功能_33[[#This Row],[功能代號]],討論項目!A:H,8,FALSE)=0,"",VLOOKUP(功能_33[[#This Row],[功能代號]],討論項目!A:H,8,FALSE)),"")</f>
        <v/>
      </c>
      <c r="N355" s="308" t="s">
        <v>12</v>
      </c>
      <c r="O355" s="308" t="s">
        <v>541</v>
      </c>
      <c r="T355" s="308"/>
      <c r="V355" s="308"/>
      <c r="W355" s="308"/>
      <c r="X355" s="307" t="str">
        <f>VLOOKUP(功能_33[[#This Row],[User]],SKL放款!A:G,7,FALSE)</f>
        <v>放款推展課</v>
      </c>
      <c r="Y355" s="228">
        <f>IF(功能_33[[#This Row],[實際展示]]="","",功能_33[[#This Row],[實際展示]]+14)</f>
        <v>44412</v>
      </c>
      <c r="Z355" s="226" t="s">
        <v>2808</v>
      </c>
      <c r="AA355" s="226"/>
      <c r="AB355" s="226"/>
      <c r="AC355" s="226"/>
      <c r="AD355" s="226"/>
      <c r="AE355" s="226"/>
      <c r="AF355" s="355"/>
      <c r="AG355" s="226" t="str">
        <f>IFERROR(IF(VLOOKUP(功能_33[[#This Row],[功能代號]],E:Q,11,FALSE)=0,"",VLOOKUP(功能_33[[#This Row],[功能代號]],E:Q,11,FALSE)),"")</f>
        <v>張淑遠</v>
      </c>
      <c r="AH355" s="226"/>
      <c r="AI355" s="226"/>
      <c r="AJ355" s="307"/>
      <c r="AK355" s="226">
        <v>44398</v>
      </c>
      <c r="AN355" s="307" t="str">
        <f>VLOOKUP(功能_33[[#This Row],[功能代號]],工作表2!B:B,1,FALSE)</f>
        <v>L6757</v>
      </c>
    </row>
    <row r="356" spans="1:40" ht="14.25" customHeight="1">
      <c r="A356" s="224">
        <v>141</v>
      </c>
      <c r="B356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6" s="307" t="s">
        <v>106</v>
      </c>
      <c r="D356" s="234"/>
      <c r="E356" s="308" t="s">
        <v>1060</v>
      </c>
      <c r="F356" s="307" t="s">
        <v>1061</v>
      </c>
      <c r="G356" s="307"/>
      <c r="H356" s="308" t="s">
        <v>203</v>
      </c>
      <c r="I356" s="308" t="s">
        <v>330</v>
      </c>
      <c r="J356" s="287" t="s">
        <v>2843</v>
      </c>
      <c r="K356" s="267">
        <v>44397</v>
      </c>
      <c r="L356" s="226">
        <v>44397</v>
      </c>
      <c r="M356" s="226" t="str">
        <f>IFERROR(IF(VLOOKUP(功能_33[[#This Row],[功能代號]],討論項目!A:H,8,FALSE)=0,"",VLOOKUP(功能_33[[#This Row],[功能代號]],討論項目!A:H,8,FALSE)),"")</f>
        <v/>
      </c>
      <c r="N356" s="308" t="s">
        <v>8</v>
      </c>
      <c r="O356" s="308" t="s">
        <v>541</v>
      </c>
      <c r="T356" s="308"/>
      <c r="V356" s="308"/>
      <c r="W356" s="308"/>
      <c r="X356" s="307" t="str">
        <f>VLOOKUP(功能_33[[#This Row],[User]],SKL放款!A:G,7,FALSE)</f>
        <v>放款推展課</v>
      </c>
      <c r="Y356" s="228">
        <f>IF(功能_33[[#This Row],[實際展示]]="","",功能_33[[#This Row],[實際展示]]+14)</f>
        <v>44411</v>
      </c>
      <c r="Z356" s="226" t="s">
        <v>2809</v>
      </c>
      <c r="AA356" s="226" t="e">
        <f>IF(功能_33[[#This Row],[URS交二審]]=0,"",功能_33[[#This Row],[URS交二審]]+7)</f>
        <v>#VALUE!</v>
      </c>
      <c r="AB356" s="226"/>
      <c r="AC356" s="226"/>
      <c r="AD356" s="226"/>
      <c r="AE356" s="226"/>
      <c r="AF356" s="355"/>
      <c r="AG356" s="226" t="str">
        <f>IFERROR(IF(VLOOKUP(功能_33[[#This Row],[功能代號]],E:Q,11,FALSE)=0,"",VLOOKUP(功能_33[[#This Row],[功能代號]],E:Q,11,FALSE)),"")</f>
        <v>張淑遠</v>
      </c>
      <c r="AH356" s="226"/>
      <c r="AI356" s="226"/>
      <c r="AJ356" s="307"/>
      <c r="AK356" s="226">
        <v>44397</v>
      </c>
      <c r="AL356" s="308" t="s">
        <v>2848</v>
      </c>
      <c r="AN356" s="307" t="e">
        <f>VLOOKUP(功能_33[[#This Row],[功能代號]],工作表2!B:B,1,FALSE)</f>
        <v>#N/A</v>
      </c>
    </row>
    <row r="357" spans="1:40" ht="14.25" customHeight="1">
      <c r="A357" s="224">
        <v>142</v>
      </c>
      <c r="B3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07" t="s">
        <v>106</v>
      </c>
      <c r="D357" s="234"/>
      <c r="E357" s="308" t="s">
        <v>1062</v>
      </c>
      <c r="F357" s="307" t="s">
        <v>1063</v>
      </c>
      <c r="G357" s="307"/>
      <c r="H357" s="308" t="s">
        <v>203</v>
      </c>
      <c r="I357" s="308" t="s">
        <v>330</v>
      </c>
      <c r="J357" s="287" t="s">
        <v>2843</v>
      </c>
      <c r="K357" s="267">
        <v>44397</v>
      </c>
      <c r="L357" s="226">
        <v>44397</v>
      </c>
      <c r="M357" s="226">
        <f>IFERROR(IF(VLOOKUP(功能_33[[#This Row],[功能代號]],討論項目!A:H,8,FALSE)=0,"",VLOOKUP(功能_33[[#This Row],[功能代號]],討論項目!A:H,8,FALSE)),"")</f>
        <v>44428</v>
      </c>
      <c r="N357" s="308" t="s">
        <v>8</v>
      </c>
      <c r="O357" s="308" t="s">
        <v>541</v>
      </c>
      <c r="T357" s="308"/>
      <c r="V357" s="308"/>
      <c r="W357" s="308"/>
      <c r="X357" s="307" t="str">
        <f>VLOOKUP(功能_33[[#This Row],[User]],SKL放款!A:G,7,FALSE)</f>
        <v>放款推展課</v>
      </c>
      <c r="Y357" s="228">
        <f>IF(功能_33[[#This Row],[實際展示]]="","",功能_33[[#This Row],[實際展示]]+14)</f>
        <v>44411</v>
      </c>
      <c r="Z357" s="226" t="s">
        <v>2808</v>
      </c>
      <c r="AA357" s="226"/>
      <c r="AB357" s="226"/>
      <c r="AC357" s="226"/>
      <c r="AD357" s="226"/>
      <c r="AE357" s="226"/>
      <c r="AF357" s="355"/>
      <c r="AG357" s="226" t="str">
        <f>IFERROR(IF(VLOOKUP(功能_33[[#This Row],[功能代號]],E:Q,11,FALSE)=0,"",VLOOKUP(功能_33[[#This Row],[功能代號]],E:Q,11,FALSE)),"")</f>
        <v>張淑遠</v>
      </c>
      <c r="AH357" s="226"/>
      <c r="AI357" s="226"/>
      <c r="AJ357" s="307"/>
      <c r="AK357" s="226">
        <v>44397</v>
      </c>
      <c r="AL357" s="308" t="s">
        <v>2848</v>
      </c>
      <c r="AN357" s="307" t="str">
        <f>VLOOKUP(功能_33[[#This Row],[功能代號]],工作表2!B:B,1,FALSE)</f>
        <v>L6751</v>
      </c>
    </row>
    <row r="358" spans="1:40" ht="14.25" hidden="1" customHeight="1">
      <c r="A358" s="224">
        <v>143</v>
      </c>
      <c r="B358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307" t="s">
        <v>106</v>
      </c>
      <c r="D358" s="234"/>
      <c r="E358" s="308" t="s">
        <v>1064</v>
      </c>
      <c r="F358" s="307" t="s">
        <v>1065</v>
      </c>
      <c r="G358" s="307"/>
      <c r="H358" s="308" t="s">
        <v>147</v>
      </c>
      <c r="I358" s="308" t="s">
        <v>148</v>
      </c>
      <c r="J358" s="287"/>
      <c r="K358" s="267">
        <v>44397</v>
      </c>
      <c r="L358" s="226">
        <v>44397</v>
      </c>
      <c r="M358" s="226" t="str">
        <f>IFERROR(IF(VLOOKUP(功能_33[[#This Row],[功能代號]],討論項目!A:H,8,FALSE)=0,"",VLOOKUP(功能_33[[#This Row],[功能代號]],討論項目!A:H,8,FALSE)),"")</f>
        <v/>
      </c>
      <c r="N358" s="308" t="s">
        <v>12</v>
      </c>
      <c r="O358" s="308" t="s">
        <v>541</v>
      </c>
      <c r="T358" s="308"/>
      <c r="V358" s="308"/>
      <c r="W358" s="308"/>
      <c r="X358" s="307" t="str">
        <f>VLOOKUP(功能_33[[#This Row],[User]],SKL放款!A:G,7,FALSE)</f>
        <v>放款推展課</v>
      </c>
      <c r="Y358" s="228">
        <f>IF(功能_33[[#This Row],[實際展示]]="","",功能_33[[#This Row],[實際展示]]+14)</f>
        <v>44411</v>
      </c>
      <c r="Z358" s="226" t="s">
        <v>2809</v>
      </c>
      <c r="AA358" s="226" t="e">
        <f>IF(功能_33[[#This Row],[URS交二審]]=0,"",功能_33[[#This Row],[URS交二審]]+7)</f>
        <v>#VALUE!</v>
      </c>
      <c r="AB358" s="226"/>
      <c r="AC358" s="226"/>
      <c r="AD358" s="226"/>
      <c r="AE358" s="226"/>
      <c r="AF358" s="355"/>
      <c r="AG358" s="226" t="str">
        <f>IFERROR(IF(VLOOKUP(功能_33[[#This Row],[功能代號]],E:Q,11,FALSE)=0,"",VLOOKUP(功能_33[[#This Row],[功能代號]],E:Q,11,FALSE)),"")</f>
        <v>張淑遠</v>
      </c>
      <c r="AH358" s="226"/>
      <c r="AI358" s="226"/>
      <c r="AJ358" s="307"/>
      <c r="AK358" s="226">
        <v>44397</v>
      </c>
      <c r="AN358" s="307" t="e">
        <f>VLOOKUP(功能_33[[#This Row],[功能代號]],工作表2!B:B,1,FALSE)</f>
        <v>#N/A</v>
      </c>
    </row>
    <row r="359" spans="1:40" ht="14.25" hidden="1" customHeight="1">
      <c r="A359" s="224">
        <v>144</v>
      </c>
      <c r="B3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307" t="s">
        <v>106</v>
      </c>
      <c r="D359" s="234"/>
      <c r="E359" s="308" t="s">
        <v>1066</v>
      </c>
      <c r="F359" s="307" t="s">
        <v>1067</v>
      </c>
      <c r="G359" s="307"/>
      <c r="H359" s="308" t="s">
        <v>147</v>
      </c>
      <c r="I359" s="308" t="s">
        <v>148</v>
      </c>
      <c r="J359" s="287"/>
      <c r="K359" s="267">
        <v>44397</v>
      </c>
      <c r="L359" s="226">
        <v>44397</v>
      </c>
      <c r="M359" s="226" t="str">
        <f>IFERROR(IF(VLOOKUP(功能_33[[#This Row],[功能代號]],討論項目!A:H,8,FALSE)=0,"",VLOOKUP(功能_33[[#This Row],[功能代號]],討論項目!A:H,8,FALSE)),"")</f>
        <v/>
      </c>
      <c r="N359" s="308" t="s">
        <v>12</v>
      </c>
      <c r="O359" s="308" t="s">
        <v>541</v>
      </c>
      <c r="T359" s="308"/>
      <c r="V359" s="308"/>
      <c r="W359" s="308"/>
      <c r="X359" s="307" t="str">
        <f>VLOOKUP(功能_33[[#This Row],[User]],SKL放款!A:G,7,FALSE)</f>
        <v>放款推展課</v>
      </c>
      <c r="Y359" s="228">
        <f>IF(功能_33[[#This Row],[實際展示]]="","",功能_33[[#This Row],[實際展示]]+14)</f>
        <v>44411</v>
      </c>
      <c r="Z359" s="226" t="s">
        <v>2808</v>
      </c>
      <c r="AA359" s="226"/>
      <c r="AB359" s="226"/>
      <c r="AC359" s="226"/>
      <c r="AD359" s="226"/>
      <c r="AE359" s="226"/>
      <c r="AF359" s="355"/>
      <c r="AG359" s="226" t="str">
        <f>IFERROR(IF(VLOOKUP(功能_33[[#This Row],[功能代號]],E:Q,11,FALSE)=0,"",VLOOKUP(功能_33[[#This Row],[功能代號]],E:Q,11,FALSE)),"")</f>
        <v>張淑遠</v>
      </c>
      <c r="AH359" s="226"/>
      <c r="AI359" s="226"/>
      <c r="AJ359" s="307"/>
      <c r="AK359" s="226">
        <v>44397</v>
      </c>
      <c r="AN359" s="307" t="str">
        <f>VLOOKUP(功能_33[[#This Row],[功能代號]],工作表2!B:B,1,FALSE)</f>
        <v>L6787</v>
      </c>
    </row>
    <row r="360" spans="1:40" ht="14.25" customHeight="1">
      <c r="A360" s="224">
        <v>145</v>
      </c>
      <c r="B360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07" t="s">
        <v>106</v>
      </c>
      <c r="D360" s="234"/>
      <c r="E360" s="308" t="s">
        <v>1068</v>
      </c>
      <c r="F360" s="307" t="s">
        <v>1069</v>
      </c>
      <c r="G360" s="307"/>
      <c r="H360" s="308" t="s">
        <v>203</v>
      </c>
      <c r="I360" s="308" t="s">
        <v>330</v>
      </c>
      <c r="J360" s="287" t="s">
        <v>2843</v>
      </c>
      <c r="K360" s="267">
        <v>44397</v>
      </c>
      <c r="L360" s="226">
        <v>44397</v>
      </c>
      <c r="M360" s="226">
        <f>IFERROR(IF(VLOOKUP(功能_33[[#This Row],[功能代號]],討論項目!A:H,8,FALSE)=0,"",VLOOKUP(功能_33[[#This Row],[功能代號]],討論項目!A:H,8,FALSE)),"")</f>
        <v>44428</v>
      </c>
      <c r="N360" s="308" t="s">
        <v>12</v>
      </c>
      <c r="O360" s="308" t="s">
        <v>180</v>
      </c>
      <c r="T360" s="308"/>
      <c r="V360" s="308"/>
      <c r="W360" s="308"/>
      <c r="X360" s="307" t="str">
        <f>VLOOKUP(功能_33[[#This Row],[User]],SKL放款!A:G,7,FALSE)</f>
        <v>放款服務課</v>
      </c>
      <c r="Y360" s="228">
        <f>IF(功能_33[[#This Row],[實際展示]]="","",功能_33[[#This Row],[實際展示]]+14)</f>
        <v>44411</v>
      </c>
      <c r="Z360" s="226" t="s">
        <v>2808</v>
      </c>
      <c r="AA360" s="226"/>
      <c r="AB360" s="226"/>
      <c r="AC360" s="226"/>
      <c r="AD360" s="226"/>
      <c r="AE360" s="226"/>
      <c r="AF360" s="355"/>
      <c r="AG360" s="226" t="str">
        <f>IFERROR(IF(VLOOKUP(功能_33[[#This Row],[功能代號]],E:Q,11,FALSE)=0,"",VLOOKUP(功能_33[[#This Row],[功能代號]],E:Q,11,FALSE)),"")</f>
        <v>陳政皓</v>
      </c>
      <c r="AH360" s="226"/>
      <c r="AI360" s="226"/>
      <c r="AJ360" s="307"/>
      <c r="AK360" s="226">
        <v>44397</v>
      </c>
      <c r="AL360" s="308" t="s">
        <v>2848</v>
      </c>
      <c r="AN360" s="307" t="str">
        <f>VLOOKUP(功能_33[[#This Row],[功能代號]],工作表2!B:B,1,FALSE)</f>
        <v>L6501</v>
      </c>
    </row>
    <row r="361" spans="1:40" ht="14.25" hidden="1" customHeight="1">
      <c r="A361" s="224">
        <v>146</v>
      </c>
      <c r="B361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1" s="307" t="s">
        <v>106</v>
      </c>
      <c r="D361" s="234"/>
      <c r="E361" s="308" t="s">
        <v>1070</v>
      </c>
      <c r="F361" s="277" t="s">
        <v>1071</v>
      </c>
      <c r="G361" s="277" t="s">
        <v>1072</v>
      </c>
      <c r="H361" s="308" t="s">
        <v>203</v>
      </c>
      <c r="I361" s="308" t="s">
        <v>148</v>
      </c>
      <c r="J361" s="287"/>
      <c r="K361" s="267">
        <v>44397</v>
      </c>
      <c r="L361" s="226">
        <v>44397</v>
      </c>
      <c r="M361" s="226" t="str">
        <f>IFERROR(IF(VLOOKUP(功能_33[[#This Row],[功能代號]],討論項目!A:H,8,FALSE)=0,"",VLOOKUP(功能_33[[#This Row],[功能代號]],討論項目!A:H,8,FALSE)),"")</f>
        <v/>
      </c>
      <c r="N361" s="308" t="s">
        <v>12</v>
      </c>
      <c r="O361" s="308" t="s">
        <v>541</v>
      </c>
      <c r="T361" s="308"/>
      <c r="V361" s="308"/>
      <c r="W361" s="308"/>
      <c r="X361" s="307" t="str">
        <f>VLOOKUP(功能_33[[#This Row],[User]],SKL放款!A:G,7,FALSE)</f>
        <v>放款推展課</v>
      </c>
      <c r="Y361" s="228">
        <f>IF(功能_33[[#This Row],[實際展示]]="","",功能_33[[#This Row],[實際展示]]+14)</f>
        <v>44411</v>
      </c>
      <c r="Z361" s="226" t="s">
        <v>2809</v>
      </c>
      <c r="AA361" s="226" t="e">
        <f>IF(功能_33[[#This Row],[URS交二審]]=0,"",功能_33[[#This Row],[URS交二審]]+7)</f>
        <v>#VALUE!</v>
      </c>
      <c r="AB361" s="226"/>
      <c r="AC361" s="226"/>
      <c r="AD361" s="226"/>
      <c r="AE361" s="226"/>
      <c r="AF361" s="355"/>
      <c r="AG361" s="226" t="str">
        <f>IFERROR(IF(VLOOKUP(功能_33[[#This Row],[功能代號]],E:Q,11,FALSE)=0,"",VLOOKUP(功能_33[[#This Row],[功能代號]],E:Q,11,FALSE)),"")</f>
        <v>張淑遠</v>
      </c>
      <c r="AH361" s="226"/>
      <c r="AI361" s="226"/>
      <c r="AJ361" s="307"/>
      <c r="AK361" s="226">
        <v>44397</v>
      </c>
      <c r="AN361" s="307" t="e">
        <f>VLOOKUP(功能_33[[#This Row],[功能代號]],工作表2!B:B,1,FALSE)</f>
        <v>#N/A</v>
      </c>
    </row>
    <row r="362" spans="1:40" ht="14.25" hidden="1" customHeight="1">
      <c r="A362" s="224">
        <v>146</v>
      </c>
      <c r="B362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307" t="s">
        <v>106</v>
      </c>
      <c r="D362" s="234"/>
      <c r="E362" s="308" t="s">
        <v>1073</v>
      </c>
      <c r="F362" s="277" t="s">
        <v>1074</v>
      </c>
      <c r="G362" s="277" t="s">
        <v>1075</v>
      </c>
      <c r="H362" s="308" t="s">
        <v>203</v>
      </c>
      <c r="I362" s="308" t="s">
        <v>148</v>
      </c>
      <c r="J362" s="287"/>
      <c r="K362" s="267">
        <v>44397</v>
      </c>
      <c r="L362" s="226">
        <v>44397</v>
      </c>
      <c r="M362" s="226" t="str">
        <f>IFERROR(IF(VLOOKUP(功能_33[[#This Row],[功能代號]],討論項目!A:H,8,FALSE)=0,"",VLOOKUP(功能_33[[#This Row],[功能代號]],討論項目!A:H,8,FALSE)),"")</f>
        <v/>
      </c>
      <c r="N362" s="308" t="s">
        <v>12</v>
      </c>
      <c r="O362" s="308" t="s">
        <v>541</v>
      </c>
      <c r="T362" s="308"/>
      <c r="V362" s="308"/>
      <c r="W362" s="308"/>
      <c r="X362" s="307" t="str">
        <f>VLOOKUP(功能_33[[#This Row],[User]],SKL放款!A:G,7,FALSE)</f>
        <v>放款推展課</v>
      </c>
      <c r="Y362" s="228">
        <f>IF(功能_33[[#This Row],[實際展示]]="","",功能_33[[#This Row],[實際展示]]+14)</f>
        <v>44411</v>
      </c>
      <c r="Z362" s="226" t="s">
        <v>2809</v>
      </c>
      <c r="AA362" s="226" t="e">
        <f>IF(功能_33[[#This Row],[URS交二審]]=0,"",功能_33[[#This Row],[URS交二審]]+7)</f>
        <v>#VALUE!</v>
      </c>
      <c r="AB362" s="226"/>
      <c r="AC362" s="226"/>
      <c r="AD362" s="226"/>
      <c r="AE362" s="226"/>
      <c r="AF362" s="355"/>
      <c r="AG362" s="226" t="str">
        <f>IFERROR(IF(VLOOKUP(功能_33[[#This Row],[功能代號]],E:Q,11,FALSE)=0,"",VLOOKUP(功能_33[[#This Row],[功能代號]],E:Q,11,FALSE)),"")</f>
        <v>張淑遠</v>
      </c>
      <c r="AH362" s="226"/>
      <c r="AI362" s="226"/>
      <c r="AJ362" s="307"/>
      <c r="AK362" s="226">
        <v>44397</v>
      </c>
      <c r="AN362" s="307" t="e">
        <f>VLOOKUP(功能_33[[#This Row],[功能代號]],工作表2!B:B,1,FALSE)</f>
        <v>#N/A</v>
      </c>
    </row>
    <row r="363" spans="1:40" ht="14.25" hidden="1" customHeight="1">
      <c r="A363" s="224">
        <v>146</v>
      </c>
      <c r="B363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307" t="s">
        <v>106</v>
      </c>
      <c r="D363" s="234"/>
      <c r="E363" s="308" t="s">
        <v>1076</v>
      </c>
      <c r="F363" s="277" t="s">
        <v>1077</v>
      </c>
      <c r="G363" s="277" t="s">
        <v>1075</v>
      </c>
      <c r="H363" s="308" t="s">
        <v>203</v>
      </c>
      <c r="I363" s="308" t="s">
        <v>148</v>
      </c>
      <c r="J363" s="287"/>
      <c r="K363" s="267">
        <v>44397</v>
      </c>
      <c r="L363" s="226">
        <v>44397</v>
      </c>
      <c r="M363" s="226" t="str">
        <f>IFERROR(IF(VLOOKUP(功能_33[[#This Row],[功能代號]],討論項目!A:H,8,FALSE)=0,"",VLOOKUP(功能_33[[#This Row],[功能代號]],討論項目!A:H,8,FALSE)),"")</f>
        <v/>
      </c>
      <c r="N363" s="308" t="s">
        <v>12</v>
      </c>
      <c r="O363" s="308" t="s">
        <v>541</v>
      </c>
      <c r="T363" s="308"/>
      <c r="V363" s="308"/>
      <c r="W363" s="308"/>
      <c r="X363" s="307" t="str">
        <f>VLOOKUP(功能_33[[#This Row],[User]],SKL放款!A:G,7,FALSE)</f>
        <v>放款推展課</v>
      </c>
      <c r="Y363" s="228">
        <f>IF(功能_33[[#This Row],[實際展示]]="","",功能_33[[#This Row],[實際展示]]+14)</f>
        <v>44411</v>
      </c>
      <c r="Z363" s="226" t="s">
        <v>2809</v>
      </c>
      <c r="AA363" s="226" t="e">
        <f>IF(功能_33[[#This Row],[URS交二審]]=0,"",功能_33[[#This Row],[URS交二審]]+7)</f>
        <v>#VALUE!</v>
      </c>
      <c r="AB363" s="226"/>
      <c r="AC363" s="226"/>
      <c r="AD363" s="226"/>
      <c r="AE363" s="226"/>
      <c r="AF363" s="355"/>
      <c r="AG363" s="226" t="str">
        <f>IFERROR(IF(VLOOKUP(功能_33[[#This Row],[功能代號]],E:Q,11,FALSE)=0,"",VLOOKUP(功能_33[[#This Row],[功能代號]],E:Q,11,FALSE)),"")</f>
        <v>張淑遠</v>
      </c>
      <c r="AH363" s="226"/>
      <c r="AI363" s="226"/>
      <c r="AJ363" s="307"/>
      <c r="AK363" s="226">
        <v>44397</v>
      </c>
      <c r="AN363" s="307" t="e">
        <f>VLOOKUP(功能_33[[#This Row],[功能代號]],工作表2!B:B,1,FALSE)</f>
        <v>#N/A</v>
      </c>
    </row>
    <row r="364" spans="1:40" ht="14.25" hidden="1" customHeight="1">
      <c r="A364" s="224">
        <v>146</v>
      </c>
      <c r="B364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307" t="s">
        <v>106</v>
      </c>
      <c r="D364" s="234"/>
      <c r="E364" s="308" t="s">
        <v>1078</v>
      </c>
      <c r="F364" s="277" t="s">
        <v>1079</v>
      </c>
      <c r="G364" s="277" t="s">
        <v>1075</v>
      </c>
      <c r="H364" s="308" t="s">
        <v>203</v>
      </c>
      <c r="I364" s="308" t="s">
        <v>148</v>
      </c>
      <c r="J364" s="287"/>
      <c r="K364" s="267">
        <v>44397</v>
      </c>
      <c r="L364" s="226">
        <v>44397</v>
      </c>
      <c r="M364" s="226" t="str">
        <f>IFERROR(IF(VLOOKUP(功能_33[[#This Row],[功能代號]],討論項目!A:H,8,FALSE)=0,"",VLOOKUP(功能_33[[#This Row],[功能代號]],討論項目!A:H,8,FALSE)),"")</f>
        <v/>
      </c>
      <c r="N364" s="308" t="s">
        <v>12</v>
      </c>
      <c r="O364" s="308" t="s">
        <v>541</v>
      </c>
      <c r="T364" s="308"/>
      <c r="V364" s="308"/>
      <c r="W364" s="308"/>
      <c r="X364" s="307" t="str">
        <f>VLOOKUP(功能_33[[#This Row],[User]],SKL放款!A:G,7,FALSE)</f>
        <v>放款推展課</v>
      </c>
      <c r="Y364" s="228">
        <f>IF(功能_33[[#This Row],[實際展示]]="","",功能_33[[#This Row],[實際展示]]+14)</f>
        <v>44411</v>
      </c>
      <c r="Z364" s="226" t="s">
        <v>2809</v>
      </c>
      <c r="AA364" s="226" t="e">
        <f>IF(功能_33[[#This Row],[URS交二審]]=0,"",功能_33[[#This Row],[URS交二審]]+7)</f>
        <v>#VALUE!</v>
      </c>
      <c r="AB364" s="226"/>
      <c r="AC364" s="226"/>
      <c r="AD364" s="226"/>
      <c r="AE364" s="226"/>
      <c r="AF364" s="355"/>
      <c r="AG364" s="226" t="str">
        <f>IFERROR(IF(VLOOKUP(功能_33[[#This Row],[功能代號]],E:Q,11,FALSE)=0,"",VLOOKUP(功能_33[[#This Row],[功能代號]],E:Q,11,FALSE)),"")</f>
        <v>張淑遠</v>
      </c>
      <c r="AH364" s="226"/>
      <c r="AI364" s="226"/>
      <c r="AJ364" s="307"/>
      <c r="AK364" s="226">
        <v>44397</v>
      </c>
      <c r="AN364" s="307" t="e">
        <f>VLOOKUP(功能_33[[#This Row],[功能代號]],工作表2!B:B,1,FALSE)</f>
        <v>#N/A</v>
      </c>
    </row>
    <row r="365" spans="1:40" ht="14.25" hidden="1" customHeight="1">
      <c r="A365" s="224">
        <v>149</v>
      </c>
      <c r="B365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307" t="s">
        <v>105</v>
      </c>
      <c r="D365" s="234"/>
      <c r="E365" s="308" t="s">
        <v>1080</v>
      </c>
      <c r="F365" s="277" t="s">
        <v>1081</v>
      </c>
      <c r="G365" s="307"/>
      <c r="H365" s="308" t="s">
        <v>147</v>
      </c>
      <c r="I365" s="308" t="s">
        <v>147</v>
      </c>
      <c r="J365" s="287"/>
      <c r="K365" s="267">
        <v>44518</v>
      </c>
      <c r="L365" s="226">
        <v>44517</v>
      </c>
      <c r="M365" s="226" t="str">
        <f>IFERROR(IF(VLOOKUP(功能_33[[#This Row],[功能代號]],討論項目!A:H,8,FALSE)=0,"",VLOOKUP(功能_33[[#This Row],[功能代號]],討論項目!A:H,8,FALSE)),"")</f>
        <v/>
      </c>
      <c r="N365" s="308" t="s">
        <v>12</v>
      </c>
      <c r="O365" s="308" t="s">
        <v>13</v>
      </c>
      <c r="T365" s="308"/>
      <c r="V365" s="308"/>
      <c r="W365" s="308"/>
      <c r="X365" s="307" t="str">
        <f>VLOOKUP(功能_33[[#This Row],[User]],SKL放款!A:G,7,FALSE)</f>
        <v>放款推展課</v>
      </c>
      <c r="Y365" s="228">
        <f>IF(功能_33[[#This Row],[實際展示]]="","",功能_33[[#This Row],[實際展示]]+14)</f>
        <v>44531</v>
      </c>
      <c r="Z365" s="226" t="s">
        <v>2808</v>
      </c>
      <c r="AA365" s="226"/>
      <c r="AB365" s="226"/>
      <c r="AC365" s="226"/>
      <c r="AD365" s="226"/>
      <c r="AE365" s="226"/>
      <c r="AF365" s="355"/>
      <c r="AG365" s="226" t="str">
        <f>IFERROR(IF(VLOOKUP(功能_33[[#This Row],[功能代號]],E:Q,11,FALSE)=0,"",VLOOKUP(功能_33[[#This Row],[功能代號]],E:Q,11,FALSE)),"")</f>
        <v>李珮君</v>
      </c>
      <c r="AH365" s="226"/>
      <c r="AI365" s="226"/>
      <c r="AJ365" s="307"/>
      <c r="AK365" s="226"/>
      <c r="AN365" s="307" t="str">
        <f>VLOOKUP(功能_33[[#This Row],[功能代號]],工作表2!B:B,1,FALSE)</f>
        <v>L5051</v>
      </c>
    </row>
    <row r="366" spans="1:40" ht="14.25" hidden="1" customHeight="1">
      <c r="A366" s="224">
        <v>150</v>
      </c>
      <c r="B3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07" t="s">
        <v>105</v>
      </c>
      <c r="D366" s="234"/>
      <c r="E366" s="308" t="s">
        <v>1082</v>
      </c>
      <c r="F366" s="277" t="s">
        <v>1083</v>
      </c>
      <c r="G366" s="307"/>
      <c r="H366" s="308" t="s">
        <v>147</v>
      </c>
      <c r="I366" s="308" t="s">
        <v>147</v>
      </c>
      <c r="J366" s="287"/>
      <c r="K366" s="267">
        <v>44518</v>
      </c>
      <c r="L366" s="226">
        <v>44517</v>
      </c>
      <c r="M366" s="226" t="str">
        <f>IFERROR(IF(VLOOKUP(功能_33[[#This Row],[功能代號]],討論項目!A:H,8,FALSE)=0,"",VLOOKUP(功能_33[[#This Row],[功能代號]],討論項目!A:H,8,FALSE)),"")</f>
        <v/>
      </c>
      <c r="N366" s="308" t="s">
        <v>12</v>
      </c>
      <c r="O366" s="308" t="s">
        <v>13</v>
      </c>
      <c r="T366" s="308"/>
      <c r="V366" s="308"/>
      <c r="W366" s="308"/>
      <c r="X366" s="307" t="str">
        <f>VLOOKUP(功能_33[[#This Row],[User]],SKL放款!A:G,7,FALSE)</f>
        <v>放款推展課</v>
      </c>
      <c r="Y366" s="228">
        <f>IF(功能_33[[#This Row],[實際展示]]="","",功能_33[[#This Row],[實際展示]]+14)</f>
        <v>44531</v>
      </c>
      <c r="Z366" s="226" t="s">
        <v>2809</v>
      </c>
      <c r="AA366" s="226" t="e">
        <f>IF(功能_33[[#This Row],[URS交二審]]=0,"",功能_33[[#This Row],[URS交二審]]+7)</f>
        <v>#VALUE!</v>
      </c>
      <c r="AB366" s="226"/>
      <c r="AC366" s="226"/>
      <c r="AD366" s="226"/>
      <c r="AE366" s="226"/>
      <c r="AF366" s="355"/>
      <c r="AG366" s="226" t="str">
        <f>IFERROR(IF(VLOOKUP(功能_33[[#This Row],[功能代號]],E:Q,11,FALSE)=0,"",VLOOKUP(功能_33[[#This Row],[功能代號]],E:Q,11,FALSE)),"")</f>
        <v>李珮君</v>
      </c>
      <c r="AH366" s="226"/>
      <c r="AI366" s="226"/>
      <c r="AJ366" s="307"/>
      <c r="AK366" s="226"/>
      <c r="AN366" s="307" t="e">
        <f>VLOOKUP(功能_33[[#This Row],[功能代號]],工作表2!B:B,1,FALSE)</f>
        <v>#N/A</v>
      </c>
    </row>
    <row r="367" spans="1:40" ht="14.25" hidden="1" customHeight="1">
      <c r="A367" s="306"/>
      <c r="B3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07" t="s">
        <v>105</v>
      </c>
      <c r="D367" s="289"/>
      <c r="E367" s="308" t="s">
        <v>1084</v>
      </c>
      <c r="F367" s="277" t="s">
        <v>1085</v>
      </c>
      <c r="G367" s="290" t="s">
        <v>1086</v>
      </c>
      <c r="H367" s="308" t="s">
        <v>147</v>
      </c>
      <c r="I367" s="308" t="s">
        <v>147</v>
      </c>
      <c r="J367" s="287"/>
      <c r="K367" s="267">
        <v>44518</v>
      </c>
      <c r="L367" s="226">
        <v>44517</v>
      </c>
      <c r="M367" s="226" t="str">
        <f>IFERROR(IF(VLOOKUP(功能_33[[#This Row],[功能代號]],討論項目!A:H,8,FALSE)=0,"",VLOOKUP(功能_33[[#This Row],[功能代號]],討論項目!A:H,8,FALSE)),"")</f>
        <v/>
      </c>
      <c r="N367" s="308"/>
      <c r="O367" s="308"/>
      <c r="T367" s="308"/>
      <c r="V367" s="308"/>
      <c r="W367" s="308"/>
      <c r="X367" s="307" t="e">
        <f>VLOOKUP(功能_33[[#This Row],[User]],SKL放款!A:G,7,FALSE)</f>
        <v>#N/A</v>
      </c>
      <c r="Y367" s="228">
        <f>IF(功能_33[[#This Row],[實際展示]]="","",功能_33[[#This Row],[實際展示]]+14)</f>
        <v>44531</v>
      </c>
      <c r="Z367" s="226" t="s">
        <v>2809</v>
      </c>
      <c r="AA367" s="291"/>
      <c r="AB367" s="292"/>
      <c r="AC367" s="292"/>
      <c r="AD367" s="292"/>
      <c r="AE367" s="292"/>
      <c r="AF367" s="292"/>
      <c r="AG367" s="292" t="str">
        <f>IFERROR(IF(VLOOKUP(功能_33[[#This Row],[功能代號]],E:Q,11,FALSE)=0,"",VLOOKUP(功能_33[[#This Row],[功能代號]],E:Q,11,FALSE)),"")</f>
        <v/>
      </c>
      <c r="AH367" s="292"/>
      <c r="AI367" s="292"/>
      <c r="AJ367" s="307"/>
      <c r="AN367" s="307" t="e">
        <f>VLOOKUP(功能_33[[#This Row],[功能代號]],工作表2!B:B,1,FALSE)</f>
        <v>#N/A</v>
      </c>
    </row>
    <row r="368" spans="1:40" ht="14.25" hidden="1" customHeight="1">
      <c r="A368" s="224">
        <v>152</v>
      </c>
      <c r="B368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307" t="s">
        <v>105</v>
      </c>
      <c r="D368" s="234"/>
      <c r="E368" s="308" t="s">
        <v>1087</v>
      </c>
      <c r="F368" s="277" t="s">
        <v>1088</v>
      </c>
      <c r="G368" s="307"/>
      <c r="H368" s="308" t="s">
        <v>147</v>
      </c>
      <c r="I368" s="308" t="s">
        <v>147</v>
      </c>
      <c r="J368" s="287"/>
      <c r="K368" s="267">
        <v>44518</v>
      </c>
      <c r="L368" s="226">
        <v>44517</v>
      </c>
      <c r="M368" s="226" t="str">
        <f>IFERROR(IF(VLOOKUP(功能_33[[#This Row],[功能代號]],討論項目!A:H,8,FALSE)=0,"",VLOOKUP(功能_33[[#This Row],[功能代號]],討論項目!A:H,8,FALSE)),"")</f>
        <v/>
      </c>
      <c r="N368" s="308" t="s">
        <v>12</v>
      </c>
      <c r="O368" s="308" t="s">
        <v>13</v>
      </c>
      <c r="T368" s="308"/>
      <c r="V368" s="308"/>
      <c r="W368" s="308"/>
      <c r="X368" s="307" t="str">
        <f>VLOOKUP(功能_33[[#This Row],[User]],SKL放款!A:G,7,FALSE)</f>
        <v>放款推展課</v>
      </c>
      <c r="Y368" s="228">
        <f>IF(功能_33[[#This Row],[實際展示]]="","",功能_33[[#This Row],[實際展示]]+14)</f>
        <v>44531</v>
      </c>
      <c r="Z368" s="226" t="s">
        <v>2808</v>
      </c>
      <c r="AA368" s="226"/>
      <c r="AB368" s="226"/>
      <c r="AC368" s="226"/>
      <c r="AD368" s="226"/>
      <c r="AE368" s="226"/>
      <c r="AF368" s="355"/>
      <c r="AG368" s="226" t="str">
        <f>IFERROR(IF(VLOOKUP(功能_33[[#This Row],[功能代號]],E:Q,11,FALSE)=0,"",VLOOKUP(功能_33[[#This Row],[功能代號]],E:Q,11,FALSE)),"")</f>
        <v>李珮君</v>
      </c>
      <c r="AH368" s="226"/>
      <c r="AI368" s="226"/>
      <c r="AJ368" s="307"/>
      <c r="AK368" s="226"/>
      <c r="AN368" s="307" t="str">
        <f>VLOOKUP(功能_33[[#This Row],[功能代號]],工作表2!B:B,1,FALSE)</f>
        <v>L5052</v>
      </c>
    </row>
    <row r="369" spans="1:40" ht="14.25" hidden="1" customHeight="1">
      <c r="A369" s="224">
        <v>153</v>
      </c>
      <c r="B3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07" t="s">
        <v>105</v>
      </c>
      <c r="D369" s="234"/>
      <c r="E369" s="308" t="s">
        <v>1089</v>
      </c>
      <c r="F369" s="277" t="s">
        <v>1090</v>
      </c>
      <c r="G369" s="307"/>
      <c r="H369" s="308" t="s">
        <v>147</v>
      </c>
      <c r="I369" s="308" t="s">
        <v>147</v>
      </c>
      <c r="J369" s="287"/>
      <c r="K369" s="267">
        <v>44518</v>
      </c>
      <c r="L369" s="226">
        <v>44517</v>
      </c>
      <c r="M369" s="226" t="str">
        <f>IFERROR(IF(VLOOKUP(功能_33[[#This Row],[功能代號]],討論項目!A:H,8,FALSE)=0,"",VLOOKUP(功能_33[[#This Row],[功能代號]],討論項目!A:H,8,FALSE)),"")</f>
        <v/>
      </c>
      <c r="N369" s="308" t="s">
        <v>12</v>
      </c>
      <c r="O369" s="308" t="s">
        <v>13</v>
      </c>
      <c r="T369" s="308"/>
      <c r="V369" s="308"/>
      <c r="W369" s="308"/>
      <c r="X369" s="307" t="str">
        <f>VLOOKUP(功能_33[[#This Row],[User]],SKL放款!A:G,7,FALSE)</f>
        <v>放款推展課</v>
      </c>
      <c r="Y369" s="228">
        <f>IF(功能_33[[#This Row],[實際展示]]="","",功能_33[[#This Row],[實際展示]]+14)</f>
        <v>44531</v>
      </c>
      <c r="Z369" s="226" t="s">
        <v>2809</v>
      </c>
      <c r="AA369" s="226" t="e">
        <f>IF(功能_33[[#This Row],[URS交二審]]=0,"",功能_33[[#This Row],[URS交二審]]+7)</f>
        <v>#VALUE!</v>
      </c>
      <c r="AB369" s="226"/>
      <c r="AC369" s="226"/>
      <c r="AD369" s="226"/>
      <c r="AE369" s="226"/>
      <c r="AF369" s="355"/>
      <c r="AG369" s="226" t="str">
        <f>IFERROR(IF(VLOOKUP(功能_33[[#This Row],[功能代號]],E:Q,11,FALSE)=0,"",VLOOKUP(功能_33[[#This Row],[功能代號]],E:Q,11,FALSE)),"")</f>
        <v>李珮君</v>
      </c>
      <c r="AH369" s="226"/>
      <c r="AI369" s="226"/>
      <c r="AJ369" s="307"/>
      <c r="AK369" s="226"/>
      <c r="AN369" s="307" t="e">
        <f>VLOOKUP(功能_33[[#This Row],[功能代號]],工作表2!B:B,1,FALSE)</f>
        <v>#N/A</v>
      </c>
    </row>
    <row r="370" spans="1:40" ht="14.25" hidden="1" customHeight="1">
      <c r="A370" s="306"/>
      <c r="B3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0" s="307" t="s">
        <v>105</v>
      </c>
      <c r="D370" s="289"/>
      <c r="E370" s="308" t="s">
        <v>1091</v>
      </c>
      <c r="F370" s="277" t="s">
        <v>1092</v>
      </c>
      <c r="G370" s="290" t="s">
        <v>1086</v>
      </c>
      <c r="H370" s="308" t="s">
        <v>147</v>
      </c>
      <c r="I370" s="308" t="s">
        <v>147</v>
      </c>
      <c r="J370" s="287"/>
      <c r="K370" s="267">
        <v>44518</v>
      </c>
      <c r="L370" s="226">
        <v>44518</v>
      </c>
      <c r="M370" s="226" t="str">
        <f>IFERROR(IF(VLOOKUP(功能_33[[#This Row],[功能代號]],討論項目!A:H,8,FALSE)=0,"",VLOOKUP(功能_33[[#This Row],[功能代號]],討論項目!A:H,8,FALSE)),"")</f>
        <v/>
      </c>
      <c r="N370" s="308"/>
      <c r="O370" s="308"/>
      <c r="T370" s="308"/>
      <c r="V370" s="308"/>
      <c r="W370" s="308"/>
      <c r="X370" s="307" t="e">
        <f>VLOOKUP(功能_33[[#This Row],[User]],SKL放款!A:G,7,FALSE)</f>
        <v>#N/A</v>
      </c>
      <c r="Y370" s="228">
        <f>IF(功能_33[[#This Row],[實際展示]]="","",功能_33[[#This Row],[實際展示]]+14)</f>
        <v>44532</v>
      </c>
      <c r="Z370" s="226" t="s">
        <v>2809</v>
      </c>
      <c r="AA370" s="291"/>
      <c r="AB370" s="292"/>
      <c r="AC370" s="292"/>
      <c r="AD370" s="292"/>
      <c r="AE370" s="292"/>
      <c r="AF370" s="292"/>
      <c r="AG370" s="292" t="str">
        <f>IFERROR(IF(VLOOKUP(功能_33[[#This Row],[功能代號]],E:Q,11,FALSE)=0,"",VLOOKUP(功能_33[[#This Row],[功能代號]],E:Q,11,FALSE)),"")</f>
        <v/>
      </c>
      <c r="AH370" s="292"/>
      <c r="AI370" s="292"/>
      <c r="AJ370" s="307"/>
      <c r="AN370" s="307" t="e">
        <f>VLOOKUP(功能_33[[#This Row],[功能代號]],工作表2!B:B,1,FALSE)</f>
        <v>#N/A</v>
      </c>
    </row>
    <row r="371" spans="1:40" ht="14.25" hidden="1" customHeight="1">
      <c r="A371" s="306"/>
      <c r="B37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307" t="s">
        <v>105</v>
      </c>
      <c r="D371" s="289"/>
      <c r="E371" s="308" t="s">
        <v>1093</v>
      </c>
      <c r="F371" s="277" t="s">
        <v>1094</v>
      </c>
      <c r="G371" s="290" t="s">
        <v>1086</v>
      </c>
      <c r="H371" s="308" t="s">
        <v>147</v>
      </c>
      <c r="I371" s="308" t="s">
        <v>147</v>
      </c>
      <c r="J371" s="287"/>
      <c r="K371" s="267">
        <v>44518</v>
      </c>
      <c r="L371" s="226">
        <v>44518</v>
      </c>
      <c r="M371" s="226" t="str">
        <f>IFERROR(IF(VLOOKUP(功能_33[[#This Row],[功能代號]],討論項目!A:H,8,FALSE)=0,"",VLOOKUP(功能_33[[#This Row],[功能代號]],討論項目!A:H,8,FALSE)),"")</f>
        <v/>
      </c>
      <c r="N371" s="308"/>
      <c r="O371" s="308"/>
      <c r="T371" s="308"/>
      <c r="V371" s="308"/>
      <c r="W371" s="308"/>
      <c r="X371" s="307" t="e">
        <f>VLOOKUP(功能_33[[#This Row],[User]],SKL放款!A:G,7,FALSE)</f>
        <v>#N/A</v>
      </c>
      <c r="Y371" s="228">
        <f>IF(功能_33[[#This Row],[實際展示]]="","",功能_33[[#This Row],[實際展示]]+14)</f>
        <v>44532</v>
      </c>
      <c r="Z371" s="226" t="s">
        <v>2809</v>
      </c>
      <c r="AA371" s="291"/>
      <c r="AB371" s="292"/>
      <c r="AC371" s="292"/>
      <c r="AD371" s="292"/>
      <c r="AE371" s="292"/>
      <c r="AF371" s="292"/>
      <c r="AG371" s="292" t="str">
        <f>IFERROR(IF(VLOOKUP(功能_33[[#This Row],[功能代號]],E:Q,11,FALSE)=0,"",VLOOKUP(功能_33[[#This Row],[功能代號]],E:Q,11,FALSE)),"")</f>
        <v/>
      </c>
      <c r="AH371" s="292"/>
      <c r="AI371" s="292"/>
      <c r="AJ371" s="307"/>
      <c r="AN371" s="307" t="e">
        <f>VLOOKUP(功能_33[[#This Row],[功能代號]],工作表2!B:B,1,FALSE)</f>
        <v>#N/A</v>
      </c>
    </row>
    <row r="372" spans="1:40" ht="14.25" hidden="1" customHeight="1">
      <c r="A372" s="224">
        <v>147</v>
      </c>
      <c r="B372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2" s="307" t="s">
        <v>105</v>
      </c>
      <c r="D372" s="234"/>
      <c r="E372" s="308" t="s">
        <v>1095</v>
      </c>
      <c r="F372" s="277" t="s">
        <v>1096</v>
      </c>
      <c r="G372" s="307"/>
      <c r="H372" s="308" t="s">
        <v>147</v>
      </c>
      <c r="I372" s="308" t="s">
        <v>147</v>
      </c>
      <c r="J372" s="287"/>
      <c r="K372" s="267">
        <v>44517</v>
      </c>
      <c r="L372" s="226">
        <v>44518</v>
      </c>
      <c r="M372" s="226" t="str">
        <f>IFERROR(IF(VLOOKUP(功能_33[[#This Row],[功能代號]],討論項目!A:H,8,FALSE)=0,"",VLOOKUP(功能_33[[#This Row],[功能代號]],討論項目!A:H,8,FALSE)),"")</f>
        <v/>
      </c>
      <c r="N372" s="308" t="s">
        <v>12</v>
      </c>
      <c r="O372" s="308" t="s">
        <v>541</v>
      </c>
      <c r="T372" s="308"/>
      <c r="V372" s="308"/>
      <c r="W372" s="308"/>
      <c r="X372" s="307" t="str">
        <f>VLOOKUP(功能_33[[#This Row],[User]],SKL放款!A:G,7,FALSE)</f>
        <v>放款推展課</v>
      </c>
      <c r="Y372" s="228">
        <f>IF(功能_33[[#This Row],[實際展示]]="","",功能_33[[#This Row],[實際展示]]+14)</f>
        <v>44532</v>
      </c>
      <c r="Z372" s="226" t="s">
        <v>2808</v>
      </c>
      <c r="AA372" s="226"/>
      <c r="AB372" s="226"/>
      <c r="AC372" s="226"/>
      <c r="AD372" s="226"/>
      <c r="AE372" s="226"/>
      <c r="AF372" s="355"/>
      <c r="AG372" s="226" t="str">
        <f>IFERROR(IF(VLOOKUP(功能_33[[#This Row],[功能代號]],E:Q,11,FALSE)=0,"",VLOOKUP(功能_33[[#This Row],[功能代號]],E:Q,11,FALSE)),"")</f>
        <v>張淑遠</v>
      </c>
      <c r="AH372" s="226"/>
      <c r="AI372" s="226"/>
      <c r="AJ372" s="307"/>
      <c r="AK372" s="226">
        <v>44398</v>
      </c>
      <c r="AN372" s="307" t="str">
        <f>VLOOKUP(功能_33[[#This Row],[功能代號]],工作表2!B:B,1,FALSE)</f>
        <v>L5500</v>
      </c>
    </row>
    <row r="373" spans="1:40" ht="14.25" hidden="1" customHeight="1">
      <c r="A373" s="224">
        <v>154</v>
      </c>
      <c r="B37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307" t="s">
        <v>105</v>
      </c>
      <c r="D373" s="233"/>
      <c r="E373" s="308" t="s">
        <v>1097</v>
      </c>
      <c r="F373" s="277" t="s">
        <v>1098</v>
      </c>
      <c r="G373" s="307"/>
      <c r="H373" s="308" t="s">
        <v>147</v>
      </c>
      <c r="I373" s="308" t="s">
        <v>147</v>
      </c>
      <c r="J373" s="287"/>
      <c r="K373" s="267">
        <v>44518</v>
      </c>
      <c r="L373" s="226">
        <v>44518</v>
      </c>
      <c r="M373" s="226" t="str">
        <f>IFERROR(IF(VLOOKUP(功能_33[[#This Row],[功能代號]],討論項目!A:H,8,FALSE)=0,"",VLOOKUP(功能_33[[#This Row],[功能代號]],討論項目!A:H,8,FALSE)),"")</f>
        <v/>
      </c>
      <c r="N373" s="308" t="s">
        <v>12</v>
      </c>
      <c r="O373" s="308" t="s">
        <v>541</v>
      </c>
      <c r="T373" s="308"/>
      <c r="V373" s="308"/>
      <c r="W373" s="308"/>
      <c r="X373" s="307" t="str">
        <f>VLOOKUP(功能_33[[#This Row],[User]],SKL放款!A:G,7,FALSE)</f>
        <v>放款推展課</v>
      </c>
      <c r="Y373" s="228">
        <f>IF(功能_33[[#This Row],[實際展示]]="","",功能_33[[#This Row],[實際展示]]+14)</f>
        <v>44532</v>
      </c>
      <c r="Z373" s="226" t="s">
        <v>2809</v>
      </c>
      <c r="AA373" s="226" t="e">
        <f>IF(功能_33[[#This Row],[URS交二審]]=0,"",功能_33[[#This Row],[URS交二審]]+7)</f>
        <v>#VALUE!</v>
      </c>
      <c r="AB373" s="226"/>
      <c r="AC373" s="226"/>
      <c r="AD373" s="226"/>
      <c r="AE373" s="226"/>
      <c r="AF373" s="355"/>
      <c r="AG373" s="226" t="str">
        <f>IFERROR(IF(VLOOKUP(功能_33[[#This Row],[功能代號]],E:Q,11,FALSE)=0,"",VLOOKUP(功能_33[[#This Row],[功能代號]],E:Q,11,FALSE)),"")</f>
        <v>張淑遠</v>
      </c>
      <c r="AH373" s="226"/>
      <c r="AI373" s="226"/>
      <c r="AJ373" s="307"/>
      <c r="AK373" s="226"/>
      <c r="AN373" s="307" t="e">
        <f>VLOOKUP(功能_33[[#This Row],[功能代號]],工作表2!B:B,1,FALSE)</f>
        <v>#N/A</v>
      </c>
    </row>
    <row r="374" spans="1:40" ht="14.25" hidden="1" customHeight="1">
      <c r="A374" s="224">
        <v>155</v>
      </c>
      <c r="B374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307" t="s">
        <v>105</v>
      </c>
      <c r="D374" s="233"/>
      <c r="E374" s="308" t="s">
        <v>1099</v>
      </c>
      <c r="F374" s="277" t="s">
        <v>1100</v>
      </c>
      <c r="G374" s="307"/>
      <c r="H374" s="308" t="s">
        <v>147</v>
      </c>
      <c r="I374" s="308" t="s">
        <v>147</v>
      </c>
      <c r="J374" s="287"/>
      <c r="K374" s="406">
        <v>44523</v>
      </c>
      <c r="L374" s="226"/>
      <c r="M374" s="226" t="str">
        <f>IFERROR(IF(VLOOKUP(功能_33[[#This Row],[功能代號]],討論項目!A:H,8,FALSE)=0,"",VLOOKUP(功能_33[[#This Row],[功能代號]],討論項目!A:H,8,FALSE)),"")</f>
        <v/>
      </c>
      <c r="N374" s="308" t="s">
        <v>12</v>
      </c>
      <c r="O374" s="308" t="s">
        <v>18</v>
      </c>
      <c r="T374" s="308"/>
      <c r="V374" s="308"/>
      <c r="W374" s="308"/>
      <c r="X374" s="307" t="str">
        <f>VLOOKUP(功能_33[[#This Row],[User]],SKL放款!A:G,7,FALSE)</f>
        <v>放款服務課</v>
      </c>
      <c r="Y374" s="228" t="str">
        <f>IF(功能_33[[#This Row],[實際展示]]="","",功能_33[[#This Row],[實際展示]]+14)</f>
        <v/>
      </c>
      <c r="Z374" s="226"/>
      <c r="AA374" s="226" t="str">
        <f>IF(功能_33[[#This Row],[URS交二審]]=0,"",功能_33[[#This Row],[URS交二審]]+7)</f>
        <v/>
      </c>
      <c r="AB374" s="226"/>
      <c r="AC374" s="226"/>
      <c r="AD374" s="226"/>
      <c r="AE374" s="226"/>
      <c r="AF374" s="355"/>
      <c r="AG374" s="226" t="str">
        <f>IFERROR(IF(VLOOKUP(功能_33[[#This Row],[功能代號]],E:Q,11,FALSE)=0,"",VLOOKUP(功能_33[[#This Row],[功能代號]],E:Q,11,FALSE)),"")</f>
        <v>尹少玄</v>
      </c>
      <c r="AH374" s="226"/>
      <c r="AI374" s="226"/>
      <c r="AJ374" s="307"/>
      <c r="AK374" s="226"/>
      <c r="AN374" s="307" t="e">
        <f>VLOOKUP(功能_33[[#This Row],[功能代號]],工作表2!B:B,1,FALSE)</f>
        <v>#N/A</v>
      </c>
    </row>
    <row r="375" spans="1:40" ht="14.25" hidden="1" customHeight="1">
      <c r="A375" s="224">
        <v>156</v>
      </c>
      <c r="B375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5" s="307" t="s">
        <v>105</v>
      </c>
      <c r="D375" s="233"/>
      <c r="E375" s="308" t="s">
        <v>1101</v>
      </c>
      <c r="F375" s="277" t="s">
        <v>1102</v>
      </c>
      <c r="G375" s="307"/>
      <c r="H375" s="308" t="s">
        <v>147</v>
      </c>
      <c r="I375" s="308" t="s">
        <v>147</v>
      </c>
      <c r="J375" s="287"/>
      <c r="K375" s="406">
        <v>44523</v>
      </c>
      <c r="L375" s="226"/>
      <c r="M375" s="226" t="str">
        <f>IFERROR(IF(VLOOKUP(功能_33[[#This Row],[功能代號]],討論項目!A:H,8,FALSE)=0,"",VLOOKUP(功能_33[[#This Row],[功能代號]],討論項目!A:H,8,FALSE)),"")</f>
        <v/>
      </c>
      <c r="N375" s="308" t="s">
        <v>12</v>
      </c>
      <c r="O375" s="308" t="s">
        <v>18</v>
      </c>
      <c r="T375" s="308"/>
      <c r="V375" s="308"/>
      <c r="W375" s="308"/>
      <c r="X375" s="307" t="str">
        <f>VLOOKUP(功能_33[[#This Row],[User]],SKL放款!A:G,7,FALSE)</f>
        <v>放款服務課</v>
      </c>
      <c r="Y375" s="228" t="str">
        <f>IF(功能_33[[#This Row],[實際展示]]="","",功能_33[[#This Row],[實際展示]]+14)</f>
        <v/>
      </c>
      <c r="Z375" s="226"/>
      <c r="AA375" s="226" t="str">
        <f>IF(功能_33[[#This Row],[URS交二審]]=0,"",功能_33[[#This Row],[URS交二審]]+7)</f>
        <v/>
      </c>
      <c r="AB375" s="226"/>
      <c r="AC375" s="226"/>
      <c r="AD375" s="226"/>
      <c r="AE375" s="226"/>
      <c r="AF375" s="355"/>
      <c r="AG375" s="226" t="str">
        <f>IFERROR(IF(VLOOKUP(功能_33[[#This Row],[功能代號]],E:Q,11,FALSE)=0,"",VLOOKUP(功能_33[[#This Row],[功能代號]],E:Q,11,FALSE)),"")</f>
        <v>尹少玄</v>
      </c>
      <c r="AH375" s="226"/>
      <c r="AI375" s="226"/>
      <c r="AJ375" s="307"/>
      <c r="AK375" s="226"/>
      <c r="AN375" s="307" t="e">
        <f>VLOOKUP(功能_33[[#This Row],[功能代號]],工作表2!B:B,1,FALSE)</f>
        <v>#N/A</v>
      </c>
    </row>
    <row r="376" spans="1:40" ht="14.25" hidden="1" customHeight="1">
      <c r="A376" s="224">
        <v>157</v>
      </c>
      <c r="B3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307" t="s">
        <v>105</v>
      </c>
      <c r="D376" s="233"/>
      <c r="E376" s="308" t="s">
        <v>1103</v>
      </c>
      <c r="F376" s="277" t="s">
        <v>1104</v>
      </c>
      <c r="G376" s="307"/>
      <c r="H376" s="308" t="s">
        <v>147</v>
      </c>
      <c r="I376" s="308" t="s">
        <v>147</v>
      </c>
      <c r="J376" s="287"/>
      <c r="K376" s="406">
        <v>44523</v>
      </c>
      <c r="L376" s="226"/>
      <c r="M376" s="226" t="str">
        <f>IFERROR(IF(VLOOKUP(功能_33[[#This Row],[功能代號]],討論項目!A:H,8,FALSE)=0,"",VLOOKUP(功能_33[[#This Row],[功能代號]],討論項目!A:H,8,FALSE)),"")</f>
        <v/>
      </c>
      <c r="N376" s="308" t="s">
        <v>12</v>
      </c>
      <c r="O376" s="308" t="s">
        <v>18</v>
      </c>
      <c r="T376" s="308"/>
      <c r="V376" s="308"/>
      <c r="W376" s="308"/>
      <c r="X376" s="307" t="str">
        <f>VLOOKUP(功能_33[[#This Row],[User]],SKL放款!A:G,7,FALSE)</f>
        <v>放款服務課</v>
      </c>
      <c r="Y376" s="228" t="str">
        <f>IF(功能_33[[#This Row],[實際展示]]="","",功能_33[[#This Row],[實際展示]]+14)</f>
        <v/>
      </c>
      <c r="Z376" s="226"/>
      <c r="AA376" s="226" t="str">
        <f>IF(功能_33[[#This Row],[URS交二審]]=0,"",功能_33[[#This Row],[URS交二審]]+7)</f>
        <v/>
      </c>
      <c r="AB376" s="226"/>
      <c r="AC376" s="226"/>
      <c r="AD376" s="226"/>
      <c r="AE376" s="226"/>
      <c r="AF376" s="355"/>
      <c r="AG376" s="226" t="str">
        <f>IFERROR(IF(VLOOKUP(功能_33[[#This Row],[功能代號]],E:Q,11,FALSE)=0,"",VLOOKUP(功能_33[[#This Row],[功能代號]],E:Q,11,FALSE)),"")</f>
        <v>尹少玄</v>
      </c>
      <c r="AH376" s="226"/>
      <c r="AI376" s="226"/>
      <c r="AJ376" s="307"/>
      <c r="AK376" s="226"/>
      <c r="AN376" s="307" t="e">
        <f>VLOOKUP(功能_33[[#This Row],[功能代號]],工作表2!B:B,1,FALSE)</f>
        <v>#N/A</v>
      </c>
    </row>
    <row r="377" spans="1:40" ht="14.25" hidden="1" customHeight="1">
      <c r="A377" s="224">
        <v>158</v>
      </c>
      <c r="B377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307" t="s">
        <v>105</v>
      </c>
      <c r="D377" s="233"/>
      <c r="E377" s="308" t="s">
        <v>1105</v>
      </c>
      <c r="F377" s="277" t="s">
        <v>1106</v>
      </c>
      <c r="G377" s="307"/>
      <c r="H377" s="308" t="s">
        <v>147</v>
      </c>
      <c r="I377" s="308" t="s">
        <v>147</v>
      </c>
      <c r="J377" s="287"/>
      <c r="K377" s="267">
        <v>44519</v>
      </c>
      <c r="L377" s="226">
        <v>44518</v>
      </c>
      <c r="M377" s="226" t="str">
        <f>IFERROR(IF(VLOOKUP(功能_33[[#This Row],[功能代號]],討論項目!A:H,8,FALSE)=0,"",VLOOKUP(功能_33[[#This Row],[功能代號]],討論項目!A:H,8,FALSE)),"")</f>
        <v/>
      </c>
      <c r="N377" s="308" t="s">
        <v>12</v>
      </c>
      <c r="O377" s="308" t="s">
        <v>541</v>
      </c>
      <c r="T377" s="308"/>
      <c r="V377" s="308"/>
      <c r="W377" s="308"/>
      <c r="X377" s="307" t="str">
        <f>VLOOKUP(功能_33[[#This Row],[User]],SKL放款!A:G,7,FALSE)</f>
        <v>放款推展課</v>
      </c>
      <c r="Y377" s="228">
        <f>IF(功能_33[[#This Row],[實際展示]]="","",功能_33[[#This Row],[實際展示]]+14)</f>
        <v>44532</v>
      </c>
      <c r="Z377" s="226" t="s">
        <v>2809</v>
      </c>
      <c r="AA377" s="226" t="e">
        <f>IF(功能_33[[#This Row],[URS交二審]]=0,"",功能_33[[#This Row],[URS交二審]]+7)</f>
        <v>#VALUE!</v>
      </c>
      <c r="AB377" s="226"/>
      <c r="AC377" s="226"/>
      <c r="AD377" s="226"/>
      <c r="AE377" s="226"/>
      <c r="AF377" s="355"/>
      <c r="AG377" s="226" t="str">
        <f>IFERROR(IF(VLOOKUP(功能_33[[#This Row],[功能代號]],E:Q,11,FALSE)=0,"",VLOOKUP(功能_33[[#This Row],[功能代號]],E:Q,11,FALSE)),"")</f>
        <v>張淑遠</v>
      </c>
      <c r="AH377" s="226"/>
      <c r="AI377" s="226"/>
      <c r="AJ377" s="307"/>
      <c r="AK377" s="226"/>
      <c r="AN377" s="307" t="e">
        <f>VLOOKUP(功能_33[[#This Row],[功能代號]],工作表2!B:B,1,FALSE)</f>
        <v>#N/A</v>
      </c>
    </row>
    <row r="378" spans="1:40" ht="14.25" hidden="1" customHeight="1">
      <c r="A378" s="224">
        <v>159</v>
      </c>
      <c r="B378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307" t="s">
        <v>105</v>
      </c>
      <c r="D378" s="233"/>
      <c r="E378" s="308" t="s">
        <v>1107</v>
      </c>
      <c r="F378" s="277" t="s">
        <v>1108</v>
      </c>
      <c r="G378" s="307"/>
      <c r="H378" s="308" t="s">
        <v>147</v>
      </c>
      <c r="I378" s="308" t="s">
        <v>147</v>
      </c>
      <c r="J378" s="287"/>
      <c r="K378" s="267">
        <v>44519</v>
      </c>
      <c r="L378" s="226">
        <v>44518</v>
      </c>
      <c r="M378" s="226" t="str">
        <f>IFERROR(IF(VLOOKUP(功能_33[[#This Row],[功能代號]],討論項目!A:H,8,FALSE)=0,"",VLOOKUP(功能_33[[#This Row],[功能代號]],討論項目!A:H,8,FALSE)),"")</f>
        <v/>
      </c>
      <c r="N378" s="308" t="s">
        <v>12</v>
      </c>
      <c r="O378" s="308" t="s">
        <v>541</v>
      </c>
      <c r="T378" s="308"/>
      <c r="V378" s="308"/>
      <c r="W378" s="308"/>
      <c r="X378" s="307" t="str">
        <f>VLOOKUP(功能_33[[#This Row],[User]],SKL放款!A:G,7,FALSE)</f>
        <v>放款推展課</v>
      </c>
      <c r="Y378" s="228">
        <f>IF(功能_33[[#This Row],[實際展示]]="","",功能_33[[#This Row],[實際展示]]+14)</f>
        <v>44532</v>
      </c>
      <c r="Z378" s="226" t="s">
        <v>2809</v>
      </c>
      <c r="AA378" s="226" t="e">
        <f>IF(功能_33[[#This Row],[URS交二審]]=0,"",功能_33[[#This Row],[URS交二審]]+7)</f>
        <v>#VALUE!</v>
      </c>
      <c r="AB378" s="226"/>
      <c r="AC378" s="226"/>
      <c r="AD378" s="226"/>
      <c r="AE378" s="226"/>
      <c r="AF378" s="355"/>
      <c r="AG378" s="226" t="str">
        <f>IFERROR(IF(VLOOKUP(功能_33[[#This Row],[功能代號]],E:Q,11,FALSE)=0,"",VLOOKUP(功能_33[[#This Row],[功能代號]],E:Q,11,FALSE)),"")</f>
        <v>張淑遠</v>
      </c>
      <c r="AH378" s="226"/>
      <c r="AI378" s="226"/>
      <c r="AJ378" s="307"/>
      <c r="AK378" s="226"/>
      <c r="AN378" s="307" t="e">
        <f>VLOOKUP(功能_33[[#This Row],[功能代號]],工作表2!B:B,1,FALSE)</f>
        <v>#N/A</v>
      </c>
    </row>
    <row r="379" spans="1:40" ht="14.25" hidden="1" customHeight="1">
      <c r="A379" s="224">
        <v>160</v>
      </c>
      <c r="B37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307" t="s">
        <v>105</v>
      </c>
      <c r="D379" s="233"/>
      <c r="E379" s="308" t="s">
        <v>1109</v>
      </c>
      <c r="F379" s="277" t="s">
        <v>1110</v>
      </c>
      <c r="G379" s="307"/>
      <c r="H379" s="308" t="s">
        <v>147</v>
      </c>
      <c r="I379" s="308" t="s">
        <v>147</v>
      </c>
      <c r="J379" s="287"/>
      <c r="K379" s="267">
        <v>44519</v>
      </c>
      <c r="L379" s="226">
        <v>44518</v>
      </c>
      <c r="M379" s="226" t="str">
        <f>IFERROR(IF(VLOOKUP(功能_33[[#This Row],[功能代號]],討論項目!A:H,8,FALSE)=0,"",VLOOKUP(功能_33[[#This Row],[功能代號]],討論項目!A:H,8,FALSE)),"")</f>
        <v/>
      </c>
      <c r="N379" s="308" t="s">
        <v>12</v>
      </c>
      <c r="O379" s="308" t="s">
        <v>541</v>
      </c>
      <c r="T379" s="308"/>
      <c r="V379" s="308"/>
      <c r="W379" s="308"/>
      <c r="X379" s="307" t="str">
        <f>VLOOKUP(功能_33[[#This Row],[User]],SKL放款!A:G,7,FALSE)</f>
        <v>放款推展課</v>
      </c>
      <c r="Y379" s="228">
        <f>IF(功能_33[[#This Row],[實際展示]]="","",功能_33[[#This Row],[實際展示]]+14)</f>
        <v>44532</v>
      </c>
      <c r="Z379" s="226" t="s">
        <v>2809</v>
      </c>
      <c r="AA379" s="226" t="e">
        <f>IF(功能_33[[#This Row],[URS交二審]]=0,"",功能_33[[#This Row],[URS交二審]]+7)</f>
        <v>#VALUE!</v>
      </c>
      <c r="AB379" s="226"/>
      <c r="AC379" s="226"/>
      <c r="AD379" s="226"/>
      <c r="AE379" s="226"/>
      <c r="AF379" s="355"/>
      <c r="AG379" s="226" t="str">
        <f>IFERROR(IF(VLOOKUP(功能_33[[#This Row],[功能代號]],E:Q,11,FALSE)=0,"",VLOOKUP(功能_33[[#This Row],[功能代號]],E:Q,11,FALSE)),"")</f>
        <v>張淑遠</v>
      </c>
      <c r="AH379" s="226"/>
      <c r="AI379" s="226"/>
      <c r="AJ379" s="307"/>
      <c r="AK379" s="226"/>
      <c r="AN379" s="307" t="e">
        <f>VLOOKUP(功能_33[[#This Row],[功能代號]],工作表2!B:B,1,FALSE)</f>
        <v>#N/A</v>
      </c>
    </row>
    <row r="380" spans="1:40" ht="14.25" hidden="1" customHeight="1">
      <c r="A380" s="224">
        <v>162</v>
      </c>
      <c r="B380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307" t="s">
        <v>105</v>
      </c>
      <c r="D380" s="233"/>
      <c r="E380" s="273" t="s">
        <v>1111</v>
      </c>
      <c r="F380" s="277" t="s">
        <v>1112</v>
      </c>
      <c r="G380" s="307" t="s">
        <v>2775</v>
      </c>
      <c r="H380" s="308" t="s">
        <v>147</v>
      </c>
      <c r="I380" s="308" t="s">
        <v>147</v>
      </c>
      <c r="J380" s="287"/>
      <c r="K380" s="267">
        <v>44519</v>
      </c>
      <c r="L380" s="226">
        <v>44518</v>
      </c>
      <c r="M380" s="226" t="str">
        <f>IFERROR(IF(VLOOKUP(功能_33[[#This Row],[功能代號]],討論項目!A:H,8,FALSE)=0,"",VLOOKUP(功能_33[[#This Row],[功能代號]],討論項目!A:H,8,FALSE)),"")</f>
        <v/>
      </c>
      <c r="N380" s="308" t="s">
        <v>12</v>
      </c>
      <c r="O380" s="308" t="s">
        <v>541</v>
      </c>
      <c r="T380" s="308"/>
      <c r="V380" s="308"/>
      <c r="W380" s="308"/>
      <c r="X380" s="307" t="str">
        <f>VLOOKUP(功能_33[[#This Row],[User]],SKL放款!A:G,7,FALSE)</f>
        <v>放款推展課</v>
      </c>
      <c r="Y380" s="228">
        <f>IF(功能_33[[#This Row],[實際展示]]="","",功能_33[[#This Row],[實際展示]]+14)</f>
        <v>44532</v>
      </c>
      <c r="Z380" s="226" t="s">
        <v>2809</v>
      </c>
      <c r="AA380" s="226" t="e">
        <f>IF(功能_33[[#This Row],[URS交二審]]=0,"",功能_33[[#This Row],[URS交二審]]+7)</f>
        <v>#VALUE!</v>
      </c>
      <c r="AB380" s="226"/>
      <c r="AC380" s="226"/>
      <c r="AD380" s="226"/>
      <c r="AE380" s="226"/>
      <c r="AF380" s="355"/>
      <c r="AG380" s="226" t="str">
        <f>IFERROR(IF(VLOOKUP(功能_33[[#This Row],[功能代號]],E:Q,11,FALSE)=0,"",VLOOKUP(功能_33[[#This Row],[功能代號]],E:Q,11,FALSE)),"")</f>
        <v>張淑遠</v>
      </c>
      <c r="AH380" s="226"/>
      <c r="AI380" s="226"/>
      <c r="AJ380" s="307"/>
      <c r="AK380" s="226"/>
      <c r="AN380" s="307" t="e">
        <f>VLOOKUP(功能_33[[#This Row],[功能代號]],工作表2!B:B,1,FALSE)</f>
        <v>#N/A</v>
      </c>
    </row>
    <row r="381" spans="1:40" ht="14.25" hidden="1" customHeight="1">
      <c r="A381" s="224">
        <v>165</v>
      </c>
      <c r="B381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1" s="307" t="s">
        <v>105</v>
      </c>
      <c r="D381" s="233"/>
      <c r="E381" s="308" t="s">
        <v>1115</v>
      </c>
      <c r="F381" s="277" t="s">
        <v>1116</v>
      </c>
      <c r="G381" s="307"/>
      <c r="H381" s="308" t="s">
        <v>147</v>
      </c>
      <c r="I381" s="308" t="s">
        <v>148</v>
      </c>
      <c r="J381" s="287"/>
      <c r="K381" s="267">
        <v>44519</v>
      </c>
      <c r="L381" s="226">
        <v>44518</v>
      </c>
      <c r="M381" s="226" t="str">
        <f>IFERROR(IF(VLOOKUP(功能_33[[#This Row],[功能代號]],討論項目!A:H,8,FALSE)=0,"",VLOOKUP(功能_33[[#This Row],[功能代號]],討論項目!A:H,8,FALSE)),"")</f>
        <v/>
      </c>
      <c r="N381" s="308" t="s">
        <v>12</v>
      </c>
      <c r="O381" s="308" t="s">
        <v>541</v>
      </c>
      <c r="T381" s="308"/>
      <c r="V381" s="308"/>
      <c r="W381" s="308"/>
      <c r="X381" s="307" t="str">
        <f>VLOOKUP(功能_33[[#This Row],[User]],SKL放款!A:G,7,FALSE)</f>
        <v>放款推展課</v>
      </c>
      <c r="Y381" s="228">
        <f>IF(功能_33[[#This Row],[實際展示]]="","",功能_33[[#This Row],[實際展示]]+14)</f>
        <v>44532</v>
      </c>
      <c r="Z381" s="226" t="s">
        <v>2809</v>
      </c>
      <c r="AA381" s="226" t="e">
        <f>IF(功能_33[[#This Row],[URS交二審]]=0,"",功能_33[[#This Row],[URS交二審]]+7)</f>
        <v>#VALUE!</v>
      </c>
      <c r="AB381" s="226"/>
      <c r="AC381" s="226"/>
      <c r="AD381" s="226"/>
      <c r="AE381" s="226"/>
      <c r="AF381" s="355"/>
      <c r="AG381" s="226" t="str">
        <f>IFERROR(IF(VLOOKUP(功能_33[[#This Row],[功能代號]],E:Q,11,FALSE)=0,"",VLOOKUP(功能_33[[#This Row],[功能代號]],E:Q,11,FALSE)),"")</f>
        <v>張淑遠</v>
      </c>
      <c r="AH381" s="226"/>
      <c r="AI381" s="226"/>
      <c r="AJ381" s="307"/>
      <c r="AK381" s="226"/>
      <c r="AN381" s="307" t="e">
        <f>VLOOKUP(功能_33[[#This Row],[功能代號]],工作表2!B:B,1,FALSE)</f>
        <v>#N/A</v>
      </c>
    </row>
    <row r="382" spans="1:40" ht="14.25" hidden="1" customHeight="1">
      <c r="A382" s="224">
        <v>167</v>
      </c>
      <c r="B382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2" s="307" t="s">
        <v>105</v>
      </c>
      <c r="D382" s="233"/>
      <c r="E382" s="308" t="s">
        <v>1117</v>
      </c>
      <c r="F382" s="277" t="s">
        <v>1118</v>
      </c>
      <c r="G382" s="307"/>
      <c r="H382" s="308" t="s">
        <v>147</v>
      </c>
      <c r="I382" s="308" t="s">
        <v>148</v>
      </c>
      <c r="J382" s="287"/>
      <c r="K382" s="267">
        <v>44519</v>
      </c>
      <c r="L382" s="226">
        <v>44518</v>
      </c>
      <c r="M382" s="226" t="str">
        <f>IFERROR(IF(VLOOKUP(功能_33[[#This Row],[功能代號]],討論項目!A:H,8,FALSE)=0,"",VLOOKUP(功能_33[[#This Row],[功能代號]],討論項目!A:H,8,FALSE)),"")</f>
        <v/>
      </c>
      <c r="N382" s="308" t="s">
        <v>12</v>
      </c>
      <c r="O382" s="308" t="s">
        <v>541</v>
      </c>
      <c r="T382" s="308"/>
      <c r="V382" s="308"/>
      <c r="W382" s="308"/>
      <c r="X382" s="307" t="str">
        <f>VLOOKUP(功能_33[[#This Row],[User]],SKL放款!A:G,7,FALSE)</f>
        <v>放款推展課</v>
      </c>
      <c r="Y382" s="228">
        <f>IF(功能_33[[#This Row],[實際展示]]="","",功能_33[[#This Row],[實際展示]]+14)</f>
        <v>44532</v>
      </c>
      <c r="Z382" s="226" t="s">
        <v>2809</v>
      </c>
      <c r="AA382" s="226" t="e">
        <f>IF(功能_33[[#This Row],[URS交二審]]=0,"",功能_33[[#This Row],[URS交二審]]+7)</f>
        <v>#VALUE!</v>
      </c>
      <c r="AB382" s="226"/>
      <c r="AC382" s="226"/>
      <c r="AD382" s="226"/>
      <c r="AE382" s="226"/>
      <c r="AF382" s="355"/>
      <c r="AG382" s="226" t="str">
        <f>IFERROR(IF(VLOOKUP(功能_33[[#This Row],[功能代號]],E:Q,11,FALSE)=0,"",VLOOKUP(功能_33[[#This Row],[功能代號]],E:Q,11,FALSE)),"")</f>
        <v>張淑遠</v>
      </c>
      <c r="AH382" s="226"/>
      <c r="AI382" s="226"/>
      <c r="AJ382" s="307"/>
      <c r="AK382" s="226"/>
      <c r="AN382" s="307" t="e">
        <f>VLOOKUP(功能_33[[#This Row],[功能代號]],工作表2!B:B,1,FALSE)</f>
        <v>#N/A</v>
      </c>
    </row>
    <row r="383" spans="1:40" ht="14.25" customHeight="1">
      <c r="A383" s="224">
        <v>317</v>
      </c>
      <c r="B383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3" s="307" t="s">
        <v>106</v>
      </c>
      <c r="D383" s="307"/>
      <c r="E383" s="308" t="s">
        <v>1119</v>
      </c>
      <c r="F383" s="277" t="s">
        <v>1120</v>
      </c>
      <c r="G383" s="307"/>
      <c r="H383" s="308" t="s">
        <v>147</v>
      </c>
      <c r="I383" s="308" t="s">
        <v>330</v>
      </c>
      <c r="J383" s="287" t="s">
        <v>2843</v>
      </c>
      <c r="K383" s="406">
        <v>44525</v>
      </c>
      <c r="L383" s="226"/>
      <c r="M383" s="226" t="str">
        <f>IFERROR(IF(VLOOKUP(功能_33[[#This Row],[功能代號]],討論項目!A:H,8,FALSE)=0,"",VLOOKUP(功能_33[[#This Row],[功能代號]],討論項目!A:H,8,FALSE)),"")</f>
        <v/>
      </c>
      <c r="N383" s="308" t="s">
        <v>12</v>
      </c>
      <c r="O383" s="308" t="s">
        <v>11</v>
      </c>
      <c r="T383" s="308"/>
      <c r="V383" s="308"/>
      <c r="W383" s="308"/>
      <c r="X383" s="307" t="str">
        <f>VLOOKUP(功能_33[[#This Row],[User]],SKL放款!A:G,7,FALSE)</f>
        <v>放款服務課</v>
      </c>
      <c r="Y383" s="228" t="str">
        <f>IF(功能_33[[#This Row],[實際展示]]="","",功能_33[[#This Row],[實際展示]]+14)</f>
        <v/>
      </c>
      <c r="Z383" s="226" t="s">
        <v>2808</v>
      </c>
      <c r="AA383" s="226"/>
      <c r="AB383" s="226"/>
      <c r="AC383" s="226"/>
      <c r="AD383" s="226"/>
      <c r="AE383" s="226"/>
      <c r="AF383" s="355"/>
      <c r="AG383" s="226" t="str">
        <f>IFERROR(IF(VLOOKUP(功能_33[[#This Row],[功能代號]],E:Q,11,FALSE)=0,"",VLOOKUP(功能_33[[#This Row],[功能代號]],E:Q,11,FALSE)),"")</f>
        <v>蔡珮瑜</v>
      </c>
      <c r="AH383" s="226"/>
      <c r="AI383" s="226"/>
      <c r="AJ383" s="307"/>
      <c r="AK383" s="226">
        <v>44491</v>
      </c>
      <c r="AL383" s="308" t="s">
        <v>2848</v>
      </c>
      <c r="AN383" s="307" t="str">
        <f>VLOOKUP(功能_33[[#This Row],[功能代號]],工作表2!B:B,1,FALSE)</f>
        <v>L6042</v>
      </c>
    </row>
    <row r="384" spans="1:40" ht="14.25" customHeight="1">
      <c r="A384" s="224">
        <v>318</v>
      </c>
      <c r="B3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07" t="s">
        <v>106</v>
      </c>
      <c r="D384" s="307"/>
      <c r="E384" s="308" t="s">
        <v>1121</v>
      </c>
      <c r="F384" s="277" t="s">
        <v>1122</v>
      </c>
      <c r="G384" s="307"/>
      <c r="H384" s="308" t="s">
        <v>147</v>
      </c>
      <c r="I384" s="308" t="s">
        <v>330</v>
      </c>
      <c r="J384" s="287" t="s">
        <v>2843</v>
      </c>
      <c r="K384" s="406">
        <v>44525</v>
      </c>
      <c r="L384" s="226"/>
      <c r="M384" s="226" t="str">
        <f>IFERROR(IF(VLOOKUP(功能_33[[#This Row],[功能代號]],討論項目!A:H,8,FALSE)=0,"",VLOOKUP(功能_33[[#This Row],[功能代號]],討論項目!A:H,8,FALSE)),"")</f>
        <v/>
      </c>
      <c r="N384" s="308" t="s">
        <v>12</v>
      </c>
      <c r="O384" s="308" t="s">
        <v>11</v>
      </c>
      <c r="T384" s="308"/>
      <c r="V384" s="308"/>
      <c r="W384" s="308"/>
      <c r="X384" s="307" t="str">
        <f>VLOOKUP(功能_33[[#This Row],[User]],SKL放款!A:G,7,FALSE)</f>
        <v>放款服務課</v>
      </c>
      <c r="Y384" s="228" t="str">
        <f>IF(功能_33[[#This Row],[實際展示]]="","",功能_33[[#This Row],[實際展示]]+14)</f>
        <v/>
      </c>
      <c r="Z384" s="226" t="s">
        <v>2808</v>
      </c>
      <c r="AA384" s="226"/>
      <c r="AB384" s="226"/>
      <c r="AC384" s="226"/>
      <c r="AD384" s="226"/>
      <c r="AE384" s="226"/>
      <c r="AF384" s="355"/>
      <c r="AG384" s="226" t="str">
        <f>IFERROR(IF(VLOOKUP(功能_33[[#This Row],[功能代號]],E:Q,11,FALSE)=0,"",VLOOKUP(功能_33[[#This Row],[功能代號]],E:Q,11,FALSE)),"")</f>
        <v>蔡珮瑜</v>
      </c>
      <c r="AH384" s="226"/>
      <c r="AI384" s="226"/>
      <c r="AJ384" s="307"/>
      <c r="AK384" s="226"/>
      <c r="AL384" s="308" t="s">
        <v>2848</v>
      </c>
      <c r="AN384" s="307" t="str">
        <f>VLOOKUP(功能_33[[#This Row],[功能代號]],工作表2!B:B,1,FALSE)</f>
        <v>L6402</v>
      </c>
    </row>
    <row r="385" spans="1:40" ht="14.25" customHeight="1">
      <c r="A385" s="224">
        <v>326</v>
      </c>
      <c r="B385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5" s="307" t="s">
        <v>106</v>
      </c>
      <c r="D385" s="307"/>
      <c r="E385" s="308" t="s">
        <v>1123</v>
      </c>
      <c r="F385" s="277" t="s">
        <v>1124</v>
      </c>
      <c r="G385" s="307"/>
      <c r="H385" s="308" t="s">
        <v>203</v>
      </c>
      <c r="I385" s="308" t="s">
        <v>330</v>
      </c>
      <c r="J385" s="287" t="s">
        <v>2843</v>
      </c>
      <c r="K385" s="406">
        <v>44525</v>
      </c>
      <c r="L385" s="226"/>
      <c r="M385" s="226" t="str">
        <f>IFERROR(IF(VLOOKUP(功能_33[[#This Row],[功能代號]],討論項目!A:H,8,FALSE)=0,"",VLOOKUP(功能_33[[#This Row],[功能代號]],討論項目!A:H,8,FALSE)),"")</f>
        <v/>
      </c>
      <c r="N385" s="308" t="s">
        <v>12</v>
      </c>
      <c r="O385" s="308" t="s">
        <v>11</v>
      </c>
      <c r="T385" s="308"/>
      <c r="V385" s="308"/>
      <c r="W385" s="308"/>
      <c r="X385" s="307" t="str">
        <f>VLOOKUP(功能_33[[#This Row],[User]],SKL放款!A:G,7,FALSE)</f>
        <v>放款服務課</v>
      </c>
      <c r="Y385" s="228" t="str">
        <f>IF(功能_33[[#This Row],[實際展示]]="","",功能_33[[#This Row],[實際展示]]+14)</f>
        <v/>
      </c>
      <c r="Z385" s="226"/>
      <c r="AA385" s="226" t="str">
        <f>IF(功能_33[[#This Row],[URS交二審]]=0,"",功能_33[[#This Row],[URS交二審]]+7)</f>
        <v/>
      </c>
      <c r="AB385" s="226"/>
      <c r="AC385" s="226"/>
      <c r="AD385" s="226"/>
      <c r="AE385" s="226"/>
      <c r="AF385" s="355"/>
      <c r="AG385" s="226" t="str">
        <f>IFERROR(IF(VLOOKUP(功能_33[[#This Row],[功能代號]],E:Q,11,FALSE)=0,"",VLOOKUP(功能_33[[#This Row],[功能代號]],E:Q,11,FALSE)),"")</f>
        <v>蔡珮瑜</v>
      </c>
      <c r="AH385" s="226"/>
      <c r="AI385" s="226"/>
      <c r="AJ385" s="307"/>
      <c r="AK385" s="226"/>
      <c r="AL385" s="308" t="s">
        <v>2848</v>
      </c>
      <c r="AN385" s="307" t="e">
        <f>VLOOKUP(功能_33[[#This Row],[功能代號]],工作表2!B:B,1,FALSE)</f>
        <v>#N/A</v>
      </c>
    </row>
    <row r="386" spans="1:40" ht="14.25" customHeight="1">
      <c r="A386" s="224">
        <v>327</v>
      </c>
      <c r="B3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07" t="s">
        <v>106</v>
      </c>
      <c r="D386" s="307"/>
      <c r="E386" s="308" t="s">
        <v>1125</v>
      </c>
      <c r="F386" s="277" t="s">
        <v>1126</v>
      </c>
      <c r="G386" s="307"/>
      <c r="H386" s="308" t="s">
        <v>203</v>
      </c>
      <c r="I386" s="308" t="s">
        <v>330</v>
      </c>
      <c r="J386" s="287" t="s">
        <v>2843</v>
      </c>
      <c r="K386" s="406">
        <v>44525</v>
      </c>
      <c r="L386" s="226"/>
      <c r="M386" s="226" t="str">
        <f>IFERROR(IF(VLOOKUP(功能_33[[#This Row],[功能代號]],討論項目!A:H,8,FALSE)=0,"",VLOOKUP(功能_33[[#This Row],[功能代號]],討論項目!A:H,8,FALSE)),"")</f>
        <v/>
      </c>
      <c r="N386" s="308" t="s">
        <v>12</v>
      </c>
      <c r="O386" s="308" t="s">
        <v>11</v>
      </c>
      <c r="T386" s="308"/>
      <c r="V386" s="308"/>
      <c r="W386" s="308"/>
      <c r="X386" s="307" t="str">
        <f>VLOOKUP(功能_33[[#This Row],[User]],SKL放款!A:G,7,FALSE)</f>
        <v>放款服務課</v>
      </c>
      <c r="Y386" s="228" t="str">
        <f>IF(功能_33[[#This Row],[實際展示]]="","",功能_33[[#This Row],[實際展示]]+14)</f>
        <v/>
      </c>
      <c r="Z386" s="226" t="s">
        <v>2808</v>
      </c>
      <c r="AA386" s="226"/>
      <c r="AB386" s="226"/>
      <c r="AC386" s="226"/>
      <c r="AD386" s="226"/>
      <c r="AE386" s="226"/>
      <c r="AF386" s="355"/>
      <c r="AG386" s="226" t="str">
        <f>IFERROR(IF(VLOOKUP(功能_33[[#This Row],[功能代號]],E:Q,11,FALSE)=0,"",VLOOKUP(功能_33[[#This Row],[功能代號]],E:Q,11,FALSE)),"")</f>
        <v>蔡珮瑜</v>
      </c>
      <c r="AH386" s="226"/>
      <c r="AI386" s="226"/>
      <c r="AJ386" s="307"/>
      <c r="AK386" s="226"/>
      <c r="AL386" s="308" t="s">
        <v>2848</v>
      </c>
      <c r="AN386" s="307" t="str">
        <f>VLOOKUP(功能_33[[#This Row],[功能代號]],工作表2!B:B,1,FALSE)</f>
        <v>L6608</v>
      </c>
    </row>
    <row r="387" spans="1:40" ht="14.25" customHeight="1">
      <c r="A387" s="224">
        <v>319</v>
      </c>
      <c r="B387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307" t="s">
        <v>106</v>
      </c>
      <c r="D387" s="307"/>
      <c r="E387" s="308" t="s">
        <v>1127</v>
      </c>
      <c r="F387" s="277" t="s">
        <v>1128</v>
      </c>
      <c r="G387" s="307"/>
      <c r="H387" s="308" t="s">
        <v>147</v>
      </c>
      <c r="I387" s="308" t="s">
        <v>330</v>
      </c>
      <c r="J387" s="287" t="s">
        <v>2843</v>
      </c>
      <c r="K387" s="406">
        <v>44525</v>
      </c>
      <c r="L387" s="226"/>
      <c r="M387" s="226" t="str">
        <f>IFERROR(IF(VLOOKUP(功能_33[[#This Row],[功能代號]],討論項目!A:H,8,FALSE)=0,"",VLOOKUP(功能_33[[#This Row],[功能代號]],討論項目!A:H,8,FALSE)),"")</f>
        <v/>
      </c>
      <c r="N387" s="308" t="s">
        <v>12</v>
      </c>
      <c r="O387" s="308" t="s">
        <v>11</v>
      </c>
      <c r="T387" s="308"/>
      <c r="V387" s="308"/>
      <c r="W387" s="308"/>
      <c r="X387" s="307" t="str">
        <f>VLOOKUP(功能_33[[#This Row],[User]],SKL放款!A:G,7,FALSE)</f>
        <v>放款服務課</v>
      </c>
      <c r="Y387" s="228" t="str">
        <f>IF(功能_33[[#This Row],[實際展示]]="","",功能_33[[#This Row],[實際展示]]+14)</f>
        <v/>
      </c>
      <c r="Z387" s="226"/>
      <c r="AA387" s="226" t="str">
        <f>IF(功能_33[[#This Row],[URS交二審]]=0,"",功能_33[[#This Row],[URS交二審]]+7)</f>
        <v/>
      </c>
      <c r="AB387" s="226"/>
      <c r="AC387" s="226"/>
      <c r="AD387" s="226"/>
      <c r="AE387" s="226"/>
      <c r="AF387" s="355"/>
      <c r="AG387" s="226" t="str">
        <f>IFERROR(IF(VLOOKUP(功能_33[[#This Row],[功能代號]],E:Q,11,FALSE)=0,"",VLOOKUP(功能_33[[#This Row],[功能代號]],E:Q,11,FALSE)),"")</f>
        <v>蔡珮瑜</v>
      </c>
      <c r="AH387" s="226"/>
      <c r="AI387" s="226"/>
      <c r="AJ387" s="307"/>
      <c r="AK387" s="226"/>
      <c r="AL387" s="308" t="s">
        <v>2848</v>
      </c>
      <c r="AN387" s="307" t="e">
        <f>VLOOKUP(功能_33[[#This Row],[功能代號]],工作表2!B:B,1,FALSE)</f>
        <v>#N/A</v>
      </c>
    </row>
    <row r="388" spans="1:40" ht="14.25" customHeight="1">
      <c r="A388" s="224">
        <v>320</v>
      </c>
      <c r="B38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307" t="s">
        <v>106</v>
      </c>
      <c r="D388" s="307"/>
      <c r="E388" s="308" t="s">
        <v>1129</v>
      </c>
      <c r="F388" s="307" t="s">
        <v>1130</v>
      </c>
      <c r="G388" s="307"/>
      <c r="H388" s="308" t="s">
        <v>147</v>
      </c>
      <c r="I388" s="308" t="s">
        <v>330</v>
      </c>
      <c r="J388" s="287" t="s">
        <v>2843</v>
      </c>
      <c r="K388" s="406">
        <v>44525</v>
      </c>
      <c r="L388" s="226"/>
      <c r="M388" s="226" t="str">
        <f>IFERROR(IF(VLOOKUP(功能_33[[#This Row],[功能代號]],討論項目!A:H,8,FALSE)=0,"",VLOOKUP(功能_33[[#This Row],[功能代號]],討論項目!A:H,8,FALSE)),"")</f>
        <v/>
      </c>
      <c r="N388" s="308" t="s">
        <v>12</v>
      </c>
      <c r="O388" s="308" t="s">
        <v>11</v>
      </c>
      <c r="T388" s="308"/>
      <c r="V388" s="308"/>
      <c r="W388" s="308"/>
      <c r="X388" s="307" t="str">
        <f>VLOOKUP(功能_33[[#This Row],[User]],SKL放款!A:G,7,FALSE)</f>
        <v>放款服務課</v>
      </c>
      <c r="Y388" s="228" t="str">
        <f>IF(功能_33[[#This Row],[實際展示]]="","",功能_33[[#This Row],[實際展示]]+14)</f>
        <v/>
      </c>
      <c r="Z388" s="226"/>
      <c r="AA388" s="226" t="str">
        <f>IF(功能_33[[#This Row],[URS交二審]]=0,"",功能_33[[#This Row],[URS交二審]]+7)</f>
        <v/>
      </c>
      <c r="AB388" s="226"/>
      <c r="AC388" s="226"/>
      <c r="AD388" s="226"/>
      <c r="AE388" s="226"/>
      <c r="AF388" s="355"/>
      <c r="AG388" s="226" t="str">
        <f>IFERROR(IF(VLOOKUP(功能_33[[#This Row],[功能代號]],E:Q,11,FALSE)=0,"",VLOOKUP(功能_33[[#This Row],[功能代號]],E:Q,11,FALSE)),"")</f>
        <v>蔡珮瑜</v>
      </c>
      <c r="AH388" s="226"/>
      <c r="AI388" s="226"/>
      <c r="AJ388" s="307"/>
      <c r="AK388" s="226"/>
      <c r="AL388" s="308" t="s">
        <v>2848</v>
      </c>
      <c r="AN388" s="307" t="e">
        <f>VLOOKUP(功能_33[[#This Row],[功能代號]],工作表2!B:B,1,FALSE)</f>
        <v>#N/A</v>
      </c>
    </row>
    <row r="389" spans="1:40" ht="14.25" customHeight="1">
      <c r="A389" s="224">
        <v>297</v>
      </c>
      <c r="B389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9" s="307" t="s">
        <v>106</v>
      </c>
      <c r="D389" s="307"/>
      <c r="E389" s="308" t="s">
        <v>1131</v>
      </c>
      <c r="F389" s="307" t="s">
        <v>1132</v>
      </c>
      <c r="G389" s="307"/>
      <c r="H389" s="308" t="s">
        <v>203</v>
      </c>
      <c r="I389" s="308" t="s">
        <v>330</v>
      </c>
      <c r="J389" s="287" t="s">
        <v>2843</v>
      </c>
      <c r="K389" s="406">
        <v>44525</v>
      </c>
      <c r="L389" s="226"/>
      <c r="M389" s="226" t="str">
        <f>IFERROR(IF(VLOOKUP(功能_33[[#This Row],[功能代號]],討論項目!A:H,8,FALSE)=0,"",VLOOKUP(功能_33[[#This Row],[功能代號]],討論項目!A:H,8,FALSE)),"")</f>
        <v/>
      </c>
      <c r="N389" s="308" t="s">
        <v>12</v>
      </c>
      <c r="O389" s="308" t="s">
        <v>180</v>
      </c>
      <c r="T389" s="308"/>
      <c r="V389" s="308"/>
      <c r="W389" s="308"/>
      <c r="X389" s="307" t="str">
        <f>VLOOKUP(功能_33[[#This Row],[User]],SKL放款!A:G,7,FALSE)</f>
        <v>放款服務課</v>
      </c>
      <c r="Y389" s="228" t="str">
        <f>IF(功能_33[[#This Row],[實際展示]]="","",功能_33[[#This Row],[實際展示]]+14)</f>
        <v/>
      </c>
      <c r="Z389" s="226"/>
      <c r="AA389" s="226" t="str">
        <f>IF(功能_33[[#This Row],[URS交二審]]=0,"",功能_33[[#This Row],[URS交二審]]+7)</f>
        <v/>
      </c>
      <c r="AB389" s="226"/>
      <c r="AC389" s="226"/>
      <c r="AD389" s="226"/>
      <c r="AE389" s="226"/>
      <c r="AF389" s="355"/>
      <c r="AG389" s="226" t="str">
        <f>IFERROR(IF(VLOOKUP(功能_33[[#This Row],[功能代號]],E:Q,11,FALSE)=0,"",VLOOKUP(功能_33[[#This Row],[功能代號]],E:Q,11,FALSE)),"")</f>
        <v>陳政皓</v>
      </c>
      <c r="AH389" s="226"/>
      <c r="AI389" s="226"/>
      <c r="AJ389" s="307"/>
      <c r="AK389" s="226"/>
      <c r="AL389" s="308" t="s">
        <v>2848</v>
      </c>
      <c r="AN389" s="307" t="e">
        <f>VLOOKUP(功能_33[[#This Row],[功能代號]],工作表2!B:B,1,FALSE)</f>
        <v>#N/A</v>
      </c>
    </row>
    <row r="390" spans="1:40" ht="14.25" customHeight="1">
      <c r="A390" s="224">
        <v>342</v>
      </c>
      <c r="B390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0" s="307" t="s">
        <v>106</v>
      </c>
      <c r="D390" s="307"/>
      <c r="E390" s="308" t="s">
        <v>1133</v>
      </c>
      <c r="F390" s="307" t="s">
        <v>1134</v>
      </c>
      <c r="G390" s="307"/>
      <c r="H390" s="308" t="s">
        <v>203</v>
      </c>
      <c r="I390" s="308" t="s">
        <v>330</v>
      </c>
      <c r="J390" s="287" t="s">
        <v>2843</v>
      </c>
      <c r="K390" s="406">
        <v>44525</v>
      </c>
      <c r="L390" s="226"/>
      <c r="M390" s="226" t="str">
        <f>IFERROR(IF(VLOOKUP(功能_33[[#This Row],[功能代號]],討論項目!A:H,8,FALSE)=0,"",VLOOKUP(功能_33[[#This Row],[功能代號]],討論項目!A:H,8,FALSE)),"")</f>
        <v/>
      </c>
      <c r="N390" s="308" t="s">
        <v>12</v>
      </c>
      <c r="O390" s="308" t="s">
        <v>11</v>
      </c>
      <c r="T390" s="308"/>
      <c r="V390" s="308"/>
      <c r="W390" s="308"/>
      <c r="X390" s="307" t="str">
        <f>VLOOKUP(功能_33[[#This Row],[User]],SKL放款!A:G,7,FALSE)</f>
        <v>放款服務課</v>
      </c>
      <c r="Y390" s="228" t="str">
        <f>IF(功能_33[[#This Row],[實際展示]]="","",功能_33[[#This Row],[實際展示]]+14)</f>
        <v/>
      </c>
      <c r="Z390" s="226"/>
      <c r="AA390" s="226" t="str">
        <f>IF(功能_33[[#This Row],[URS交二審]]=0,"",功能_33[[#This Row],[URS交二審]]+7)</f>
        <v/>
      </c>
      <c r="AB390" s="226"/>
      <c r="AC390" s="226"/>
      <c r="AD390" s="226"/>
      <c r="AE390" s="226"/>
      <c r="AF390" s="355"/>
      <c r="AG390" s="226" t="str">
        <f>IFERROR(IF(VLOOKUP(功能_33[[#This Row],[功能代號]],E:Q,11,FALSE)=0,"",VLOOKUP(功能_33[[#This Row],[功能代號]],E:Q,11,FALSE)),"")</f>
        <v>蔡珮瑜</v>
      </c>
      <c r="AH390" s="226"/>
      <c r="AI390" s="226"/>
      <c r="AJ390" s="307"/>
      <c r="AK390" s="226"/>
      <c r="AL390" s="410" t="s">
        <v>1135</v>
      </c>
      <c r="AM390" s="411" t="s">
        <v>1136</v>
      </c>
      <c r="AN390" s="307" t="e">
        <f>VLOOKUP(功能_33[[#This Row],[功能代號]],工作表2!B:B,1,FALSE)</f>
        <v>#N/A</v>
      </c>
    </row>
    <row r="391" spans="1:40" ht="14.25" customHeight="1">
      <c r="A391" s="224">
        <v>343</v>
      </c>
      <c r="B3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07" t="s">
        <v>106</v>
      </c>
      <c r="D391" s="307"/>
      <c r="E391" s="308" t="s">
        <v>1137</v>
      </c>
      <c r="F391" s="307" t="s">
        <v>1136</v>
      </c>
      <c r="G391" s="307"/>
      <c r="H391" s="308" t="s">
        <v>203</v>
      </c>
      <c r="I391" s="308" t="s">
        <v>330</v>
      </c>
      <c r="J391" s="287" t="s">
        <v>2843</v>
      </c>
      <c r="K391" s="406">
        <v>44525</v>
      </c>
      <c r="L391" s="226"/>
      <c r="M391" s="226" t="str">
        <f>IFERROR(IF(VLOOKUP(功能_33[[#This Row],[功能代號]],討論項目!A:H,8,FALSE)=0,"",VLOOKUP(功能_33[[#This Row],[功能代號]],討論項目!A:H,8,FALSE)),"")</f>
        <v/>
      </c>
      <c r="N391" s="308" t="s">
        <v>12</v>
      </c>
      <c r="O391" s="308" t="s">
        <v>11</v>
      </c>
      <c r="T391" s="308"/>
      <c r="V391" s="308"/>
      <c r="W391" s="308"/>
      <c r="X391" s="307" t="str">
        <f>VLOOKUP(功能_33[[#This Row],[User]],SKL放款!A:G,7,FALSE)</f>
        <v>放款服務課</v>
      </c>
      <c r="Y391" s="228" t="str">
        <f>IF(功能_33[[#This Row],[實際展示]]="","",功能_33[[#This Row],[實際展示]]+14)</f>
        <v/>
      </c>
      <c r="Z391" s="226"/>
      <c r="AA391" s="226" t="str">
        <f>IF(功能_33[[#This Row],[URS交二審]]=0,"",功能_33[[#This Row],[URS交二審]]+7)</f>
        <v/>
      </c>
      <c r="AB391" s="226"/>
      <c r="AC391" s="226"/>
      <c r="AD391" s="226"/>
      <c r="AE391" s="226"/>
      <c r="AF391" s="355"/>
      <c r="AG391" s="226" t="str">
        <f>IFERROR(IF(VLOOKUP(功能_33[[#This Row],[功能代號]],E:Q,11,FALSE)=0,"",VLOOKUP(功能_33[[#This Row],[功能代號]],E:Q,11,FALSE)),"")</f>
        <v>蔡珮瑜</v>
      </c>
      <c r="AH391" s="226"/>
      <c r="AI391" s="226"/>
      <c r="AJ391" s="307"/>
      <c r="AK391" s="226"/>
      <c r="AL391" s="410" t="s">
        <v>1135</v>
      </c>
      <c r="AM391" s="411" t="s">
        <v>1136</v>
      </c>
      <c r="AN391" s="307" t="e">
        <f>VLOOKUP(功能_33[[#This Row],[功能代號]],工作表2!B:B,1,FALSE)</f>
        <v>#N/A</v>
      </c>
    </row>
    <row r="392" spans="1:40" ht="14.25" customHeight="1">
      <c r="A392" s="224">
        <v>315</v>
      </c>
      <c r="B392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2" s="307" t="s">
        <v>106</v>
      </c>
      <c r="D392" s="307"/>
      <c r="E392" s="308" t="s">
        <v>1138</v>
      </c>
      <c r="F392" s="307" t="s">
        <v>1139</v>
      </c>
      <c r="G392" s="307"/>
      <c r="H392" s="308" t="s">
        <v>147</v>
      </c>
      <c r="I392" s="308" t="s">
        <v>330</v>
      </c>
      <c r="J392" s="287" t="s">
        <v>2843</v>
      </c>
      <c r="K392" s="406">
        <v>44525</v>
      </c>
      <c r="L392" s="226"/>
      <c r="M392" s="226" t="str">
        <f>IFERROR(IF(VLOOKUP(功能_33[[#This Row],[功能代號]],討論項目!A:H,8,FALSE)=0,"",VLOOKUP(功能_33[[#This Row],[功能代號]],討論項目!A:H,8,FALSE)),"")</f>
        <v/>
      </c>
      <c r="N392" s="308" t="s">
        <v>12</v>
      </c>
      <c r="O392" s="308" t="s">
        <v>11</v>
      </c>
      <c r="T392" s="308"/>
      <c r="V392" s="308"/>
      <c r="W392" s="308"/>
      <c r="X392" s="307" t="str">
        <f>VLOOKUP(功能_33[[#This Row],[User]],SKL放款!A:G,7,FALSE)</f>
        <v>放款服務課</v>
      </c>
      <c r="Y392" s="228" t="str">
        <f>IF(功能_33[[#This Row],[實際展示]]="","",功能_33[[#This Row],[實際展示]]+14)</f>
        <v/>
      </c>
      <c r="Z392" s="226" t="s">
        <v>2808</v>
      </c>
      <c r="AA392" s="226"/>
      <c r="AB392" s="226"/>
      <c r="AC392" s="226"/>
      <c r="AD392" s="226"/>
      <c r="AE392" s="226"/>
      <c r="AF392" s="355"/>
      <c r="AG392" s="226" t="str">
        <f>IFERROR(IF(VLOOKUP(功能_33[[#This Row],[功能代號]],E:Q,11,FALSE)=0,"",VLOOKUP(功能_33[[#This Row],[功能代號]],E:Q,11,FALSE)),"")</f>
        <v>蔡珮瑜</v>
      </c>
      <c r="AH392" s="226"/>
      <c r="AI392" s="226"/>
      <c r="AJ392" s="307"/>
      <c r="AK392" s="226"/>
      <c r="AL392" s="308" t="s">
        <v>2848</v>
      </c>
      <c r="AN392" s="307" t="str">
        <f>VLOOKUP(功能_33[[#This Row],[功能代號]],工作表2!B:B,1,FALSE)</f>
        <v>L6041</v>
      </c>
    </row>
    <row r="393" spans="1:40" ht="14.25" customHeight="1">
      <c r="A393" s="224">
        <v>316</v>
      </c>
      <c r="B39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307" t="s">
        <v>106</v>
      </c>
      <c r="D393" s="307"/>
      <c r="E393" s="308" t="s">
        <v>1140</v>
      </c>
      <c r="F393" s="307" t="s">
        <v>1141</v>
      </c>
      <c r="G393" s="307"/>
      <c r="H393" s="308" t="s">
        <v>147</v>
      </c>
      <c r="I393" s="308" t="s">
        <v>330</v>
      </c>
      <c r="J393" s="287" t="s">
        <v>2843</v>
      </c>
      <c r="K393" s="406">
        <v>44525</v>
      </c>
      <c r="L393" s="226"/>
      <c r="M393" s="226">
        <f>IFERROR(IF(VLOOKUP(功能_33[[#This Row],[功能代號]],討論項目!A:H,8,FALSE)=0,"",VLOOKUP(功能_33[[#This Row],[功能代號]],討論項目!A:H,8,FALSE)),"")</f>
        <v>44476</v>
      </c>
      <c r="N393" s="308" t="s">
        <v>12</v>
      </c>
      <c r="O393" s="308" t="s">
        <v>180</v>
      </c>
      <c r="T393" s="308"/>
      <c r="V393" s="308"/>
      <c r="W393" s="308"/>
      <c r="X393" s="307" t="str">
        <f>VLOOKUP(功能_33[[#This Row],[User]],SKL放款!A:G,7,FALSE)</f>
        <v>放款服務課</v>
      </c>
      <c r="Y393" s="228" t="str">
        <f>IF(功能_33[[#This Row],[實際展示]]="","",功能_33[[#This Row],[實際展示]]+14)</f>
        <v/>
      </c>
      <c r="Z393" s="226" t="s">
        <v>2808</v>
      </c>
      <c r="AA393" s="226"/>
      <c r="AB393" s="226"/>
      <c r="AC393" s="226"/>
      <c r="AD393" s="226"/>
      <c r="AE393" s="226"/>
      <c r="AF393" s="355"/>
      <c r="AG393" s="226" t="str">
        <f>IFERROR(IF(VLOOKUP(功能_33[[#This Row],[功能代號]],E:Q,11,FALSE)=0,"",VLOOKUP(功能_33[[#This Row],[功能代號]],E:Q,11,FALSE)),"")</f>
        <v>陳政皓</v>
      </c>
      <c r="AH393" s="226"/>
      <c r="AI393" s="226"/>
      <c r="AJ393" s="307"/>
      <c r="AK393" s="226"/>
      <c r="AL393" s="308" t="s">
        <v>2848</v>
      </c>
      <c r="AN393" s="307" t="str">
        <f>VLOOKUP(功能_33[[#This Row],[功能代號]],工作表2!B:B,1,FALSE)</f>
        <v>L6401</v>
      </c>
    </row>
    <row r="394" spans="1:40" ht="14.25" customHeight="1">
      <c r="A394" s="224">
        <v>298</v>
      </c>
      <c r="B394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4" s="307" t="s">
        <v>106</v>
      </c>
      <c r="D394" s="307"/>
      <c r="E394" s="308" t="s">
        <v>1142</v>
      </c>
      <c r="F394" s="307" t="s">
        <v>1143</v>
      </c>
      <c r="G394" s="307"/>
      <c r="H394" s="308" t="s">
        <v>147</v>
      </c>
      <c r="I394" s="308" t="s">
        <v>330</v>
      </c>
      <c r="J394" s="287" t="s">
        <v>2843</v>
      </c>
      <c r="K394" s="406">
        <v>44525</v>
      </c>
      <c r="L394" s="226"/>
      <c r="M394" s="226" t="str">
        <f>IFERROR(IF(VLOOKUP(功能_33[[#This Row],[功能代號]],討論項目!A:H,8,FALSE)=0,"",VLOOKUP(功能_33[[#This Row],[功能代號]],討論項目!A:H,8,FALSE)),"")</f>
        <v/>
      </c>
      <c r="N394" s="308" t="s">
        <v>12</v>
      </c>
      <c r="O394" s="308" t="s">
        <v>180</v>
      </c>
      <c r="T394" s="308"/>
      <c r="V394" s="308"/>
      <c r="W394" s="308"/>
      <c r="X394" s="307" t="str">
        <f>VLOOKUP(功能_33[[#This Row],[User]],SKL放款!A:G,7,FALSE)</f>
        <v>放款服務課</v>
      </c>
      <c r="Y394" s="228" t="str">
        <f>IF(功能_33[[#This Row],[實際展示]]="","",功能_33[[#This Row],[實際展示]]+14)</f>
        <v/>
      </c>
      <c r="Z394" s="226"/>
      <c r="AA394" s="226" t="str">
        <f>IF(功能_33[[#This Row],[URS交二審]]=0,"",功能_33[[#This Row],[URS交二審]]+7)</f>
        <v/>
      </c>
      <c r="AB394" s="226"/>
      <c r="AC394" s="226"/>
      <c r="AD394" s="226"/>
      <c r="AE394" s="226"/>
      <c r="AF394" s="355"/>
      <c r="AG394" s="226" t="str">
        <f>IFERROR(IF(VLOOKUP(功能_33[[#This Row],[功能代號]],E:Q,11,FALSE)=0,"",VLOOKUP(功能_33[[#This Row],[功能代號]],E:Q,11,FALSE)),"")</f>
        <v>陳政皓</v>
      </c>
      <c r="AH394" s="226"/>
      <c r="AI394" s="226"/>
      <c r="AJ394" s="307"/>
      <c r="AK394" s="226"/>
      <c r="AL394" s="308" t="s">
        <v>2848</v>
      </c>
      <c r="AN394" s="307" t="e">
        <f>VLOOKUP(功能_33[[#This Row],[功能代號]],工作表2!B:B,1,FALSE)</f>
        <v>#N/A</v>
      </c>
    </row>
    <row r="395" spans="1:40" ht="14.25" customHeight="1">
      <c r="A395" s="224">
        <v>321</v>
      </c>
      <c r="B395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5" s="307" t="s">
        <v>106</v>
      </c>
      <c r="D395" s="307"/>
      <c r="E395" s="308" t="s">
        <v>1144</v>
      </c>
      <c r="F395" s="307" t="s">
        <v>1145</v>
      </c>
      <c r="G395" s="307"/>
      <c r="H395" s="308" t="s">
        <v>147</v>
      </c>
      <c r="I395" s="308" t="s">
        <v>330</v>
      </c>
      <c r="J395" s="287" t="s">
        <v>2843</v>
      </c>
      <c r="K395" s="406">
        <v>44525</v>
      </c>
      <c r="L395" s="226"/>
      <c r="M395" s="226" t="str">
        <f>IFERROR(IF(VLOOKUP(功能_33[[#This Row],[功能代號]],討論項目!A:H,8,FALSE)=0,"",VLOOKUP(功能_33[[#This Row],[功能代號]],討論項目!A:H,8,FALSE)),"")</f>
        <v/>
      </c>
      <c r="N395" s="308" t="s">
        <v>12</v>
      </c>
      <c r="O395" s="308" t="s">
        <v>11</v>
      </c>
      <c r="T395" s="308"/>
      <c r="V395" s="308"/>
      <c r="W395" s="308"/>
      <c r="X395" s="307" t="str">
        <f>VLOOKUP(功能_33[[#This Row],[User]],SKL放款!A:G,7,FALSE)</f>
        <v>放款服務課</v>
      </c>
      <c r="Y395" s="228" t="str">
        <f>IF(功能_33[[#This Row],[實際展示]]="","",功能_33[[#This Row],[實際展示]]+14)</f>
        <v/>
      </c>
      <c r="Z395" s="226"/>
      <c r="AA395" s="226" t="str">
        <f>IF(功能_33[[#This Row],[URS交二審]]=0,"",功能_33[[#This Row],[URS交二審]]+7)</f>
        <v/>
      </c>
      <c r="AB395" s="226"/>
      <c r="AC395" s="226"/>
      <c r="AD395" s="226"/>
      <c r="AE395" s="226"/>
      <c r="AF395" s="355"/>
      <c r="AG395" s="226" t="str">
        <f>IFERROR(IF(VLOOKUP(功能_33[[#This Row],[功能代號]],E:Q,11,FALSE)=0,"",VLOOKUP(功能_33[[#This Row],[功能代號]],E:Q,11,FALSE)),"")</f>
        <v>蔡珮瑜</v>
      </c>
      <c r="AH395" s="226"/>
      <c r="AI395" s="226"/>
      <c r="AJ395" s="307"/>
      <c r="AK395" s="226"/>
      <c r="AL395" s="308" t="s">
        <v>2848</v>
      </c>
      <c r="AN395" s="307" t="e">
        <f>VLOOKUP(功能_33[[#This Row],[功能代號]],工作表2!B:B,1,FALSE)</f>
        <v>#N/A</v>
      </c>
    </row>
    <row r="396" spans="1:40" ht="14.25" customHeight="1">
      <c r="A396" s="224">
        <v>308</v>
      </c>
      <c r="B396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6" s="307" t="s">
        <v>106</v>
      </c>
      <c r="D396" s="307"/>
      <c r="E396" s="308" t="s">
        <v>1146</v>
      </c>
      <c r="F396" s="307" t="s">
        <v>1147</v>
      </c>
      <c r="G396" s="307"/>
      <c r="H396" s="308" t="s">
        <v>203</v>
      </c>
      <c r="I396" s="308" t="s">
        <v>330</v>
      </c>
      <c r="J396" s="287" t="s">
        <v>2843</v>
      </c>
      <c r="K396" s="406">
        <v>44525</v>
      </c>
      <c r="L396" s="226"/>
      <c r="M396" s="226" t="str">
        <f>IFERROR(IF(VLOOKUP(功能_33[[#This Row],[功能代號]],討論項目!A:H,8,FALSE)=0,"",VLOOKUP(功能_33[[#This Row],[功能代號]],討論項目!A:H,8,FALSE)),"")</f>
        <v/>
      </c>
      <c r="N396" s="308" t="s">
        <v>12</v>
      </c>
      <c r="O396" s="308" t="s">
        <v>180</v>
      </c>
      <c r="T396" s="308"/>
      <c r="V396" s="308"/>
      <c r="W396" s="308"/>
      <c r="X396" s="307" t="str">
        <f>VLOOKUP(功能_33[[#This Row],[User]],SKL放款!A:G,7,FALSE)</f>
        <v>放款服務課</v>
      </c>
      <c r="Y396" s="228" t="str">
        <f>IF(功能_33[[#This Row],[實際展示]]="","",功能_33[[#This Row],[實際展示]]+14)</f>
        <v/>
      </c>
      <c r="Z396" s="226"/>
      <c r="AA396" s="226" t="str">
        <f>IF(功能_33[[#This Row],[URS交二審]]=0,"",功能_33[[#This Row],[URS交二審]]+7)</f>
        <v/>
      </c>
      <c r="AB396" s="226"/>
      <c r="AC396" s="226"/>
      <c r="AD396" s="226"/>
      <c r="AE396" s="226"/>
      <c r="AF396" s="355"/>
      <c r="AG396" s="226" t="str">
        <f>IFERROR(IF(VLOOKUP(功能_33[[#This Row],[功能代號]],E:Q,11,FALSE)=0,"",VLOOKUP(功能_33[[#This Row],[功能代號]],E:Q,11,FALSE)),"")</f>
        <v>陳政皓</v>
      </c>
      <c r="AH396" s="226"/>
      <c r="AI396" s="226"/>
      <c r="AJ396" s="307"/>
      <c r="AK396" s="226"/>
      <c r="AL396" s="308" t="s">
        <v>2848</v>
      </c>
      <c r="AN396" s="307" t="e">
        <f>VLOOKUP(功能_33[[#This Row],[功能代號]],工作表2!B:B,1,FALSE)</f>
        <v>#N/A</v>
      </c>
    </row>
    <row r="397" spans="1:40" ht="14.25" hidden="1" customHeight="1">
      <c r="A397" s="224"/>
      <c r="B39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7" s="307" t="s">
        <v>107</v>
      </c>
      <c r="D397" s="295" t="s">
        <v>1148</v>
      </c>
      <c r="E397" s="308" t="s">
        <v>1149</v>
      </c>
      <c r="F397" s="307" t="s">
        <v>1150</v>
      </c>
      <c r="G397" s="307" t="s">
        <v>1151</v>
      </c>
      <c r="H397" s="308" t="s">
        <v>147</v>
      </c>
      <c r="I397" s="308" t="s">
        <v>148</v>
      </c>
      <c r="J397" s="287"/>
      <c r="K397" s="226">
        <v>44515</v>
      </c>
      <c r="L397" s="226">
        <v>44517</v>
      </c>
      <c r="M397" s="226" t="str">
        <f>IFERROR(IF(VLOOKUP(功能_33[[#This Row],[功能代號]],討論項目!A:H,8,FALSE)=0,"",VLOOKUP(功能_33[[#This Row],[功能代號]],討論項目!A:H,8,FALSE)),"")</f>
        <v/>
      </c>
      <c r="N397" s="308" t="s">
        <v>7</v>
      </c>
      <c r="O397" s="308" t="s">
        <v>25</v>
      </c>
      <c r="T397" s="308"/>
      <c r="V397" s="308"/>
      <c r="W397" s="308"/>
      <c r="X397" s="307" t="str">
        <f>VLOOKUP(功能_33[[#This Row],[User]],SKL放款!A:G,7,FALSE)</f>
        <v>放款管理課</v>
      </c>
      <c r="Y397" s="228">
        <f>IF(功能_33[[#This Row],[實際展示]]="","",功能_33[[#This Row],[實際展示]]+14)</f>
        <v>44531</v>
      </c>
      <c r="Z397" s="226" t="s">
        <v>2808</v>
      </c>
      <c r="AA397" s="226"/>
      <c r="AB397" s="226"/>
      <c r="AC397" s="226"/>
      <c r="AD397" s="226"/>
      <c r="AE397" s="226"/>
      <c r="AF397" s="355"/>
      <c r="AG397" s="226" t="str">
        <f>IFERROR(IF(VLOOKUP(功能_33[[#This Row],[功能代號]],E:Q,11,FALSE)=0,"",VLOOKUP(功能_33[[#This Row],[功能代號]],E:Q,11,FALSE)),"")</f>
        <v>邱怡婷</v>
      </c>
      <c r="AH397" s="226"/>
      <c r="AI397" s="226"/>
      <c r="AJ397" s="307"/>
      <c r="AN397" s="307" t="str">
        <f>VLOOKUP(功能_33[[#This Row],[功能代號]],工作表2!B:B,1,FALSE)</f>
        <v>L8030</v>
      </c>
    </row>
    <row r="398" spans="1:40" ht="14.25" hidden="1" customHeight="1">
      <c r="A398" s="224"/>
      <c r="B3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07" t="s">
        <v>107</v>
      </c>
      <c r="D398" s="295" t="s">
        <v>1152</v>
      </c>
      <c r="E398" s="308" t="s">
        <v>1153</v>
      </c>
      <c r="F398" s="307" t="s">
        <v>1154</v>
      </c>
      <c r="G398" s="307" t="s">
        <v>1151</v>
      </c>
      <c r="H398" s="308" t="s">
        <v>147</v>
      </c>
      <c r="I398" s="308" t="s">
        <v>148</v>
      </c>
      <c r="J398" s="287"/>
      <c r="K398" s="226">
        <v>44515</v>
      </c>
      <c r="L398" s="226">
        <v>44517</v>
      </c>
      <c r="M398" s="226" t="str">
        <f>IFERROR(IF(VLOOKUP(功能_33[[#This Row],[功能代號]],討論項目!A:H,8,FALSE)=0,"",VLOOKUP(功能_33[[#This Row],[功能代號]],討論項目!A:H,8,FALSE)),"")</f>
        <v/>
      </c>
      <c r="N398" s="308" t="s">
        <v>7</v>
      </c>
      <c r="O398" s="308" t="s">
        <v>25</v>
      </c>
      <c r="T398" s="308"/>
      <c r="V398" s="308"/>
      <c r="W398" s="308"/>
      <c r="X398" s="307" t="str">
        <f>VLOOKUP(功能_33[[#This Row],[User]],SKL放款!A:G,7,FALSE)</f>
        <v>放款管理課</v>
      </c>
      <c r="Y398" s="228">
        <f>IF(功能_33[[#This Row],[實際展示]]="","",功能_33[[#This Row],[實際展示]]+14)</f>
        <v>44531</v>
      </c>
      <c r="Z398" s="226" t="s">
        <v>2809</v>
      </c>
      <c r="AA398" s="226"/>
      <c r="AB398" s="226"/>
      <c r="AC398" s="226"/>
      <c r="AD398" s="226"/>
      <c r="AE398" s="226"/>
      <c r="AF398" s="355"/>
      <c r="AG398" s="226" t="str">
        <f>IFERROR(IF(VLOOKUP(功能_33[[#This Row],[功能代號]],E:Q,11,FALSE)=0,"",VLOOKUP(功能_33[[#This Row],[功能代號]],E:Q,11,FALSE)),"")</f>
        <v>邱怡婷</v>
      </c>
      <c r="AH398" s="226"/>
      <c r="AI398" s="226"/>
      <c r="AJ398" s="307"/>
      <c r="AN398" s="307" t="e">
        <f>VLOOKUP(功能_33[[#This Row],[功能代號]],工作表2!B:B,1,FALSE)</f>
        <v>#N/A</v>
      </c>
    </row>
    <row r="399" spans="1:40" ht="14.25" hidden="1" customHeight="1">
      <c r="A399" s="224"/>
      <c r="B3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07" t="s">
        <v>107</v>
      </c>
      <c r="D399" s="295" t="s">
        <v>1152</v>
      </c>
      <c r="E399" s="308" t="s">
        <v>1155</v>
      </c>
      <c r="F399" s="307" t="s">
        <v>1156</v>
      </c>
      <c r="G399" s="307" t="s">
        <v>1151</v>
      </c>
      <c r="H399" s="308" t="s">
        <v>147</v>
      </c>
      <c r="I399" s="308" t="s">
        <v>148</v>
      </c>
      <c r="J399" s="287"/>
      <c r="K399" s="226">
        <v>44515</v>
      </c>
      <c r="L399" s="226">
        <v>44517</v>
      </c>
      <c r="M399" s="226" t="str">
        <f>IFERROR(IF(VLOOKUP(功能_33[[#This Row],[功能代號]],討論項目!A:H,8,FALSE)=0,"",VLOOKUP(功能_33[[#This Row],[功能代號]],討論項目!A:H,8,FALSE)),"")</f>
        <v/>
      </c>
      <c r="N399" s="308" t="s">
        <v>7</v>
      </c>
      <c r="O399" s="308" t="s">
        <v>25</v>
      </c>
      <c r="T399" s="308"/>
      <c r="V399" s="308"/>
      <c r="W399" s="308"/>
      <c r="X399" s="307" t="str">
        <f>VLOOKUP(功能_33[[#This Row],[User]],SKL放款!A:G,7,FALSE)</f>
        <v>放款管理課</v>
      </c>
      <c r="Y399" s="228">
        <f>IF(功能_33[[#This Row],[實際展示]]="","",功能_33[[#This Row],[實際展示]]+14)</f>
        <v>44531</v>
      </c>
      <c r="Z399" s="226" t="s">
        <v>2808</v>
      </c>
      <c r="AA399" s="226"/>
      <c r="AB399" s="226"/>
      <c r="AC399" s="226"/>
      <c r="AD399" s="226"/>
      <c r="AE399" s="226"/>
      <c r="AF399" s="355"/>
      <c r="AG399" s="226" t="str">
        <f>IFERROR(IF(VLOOKUP(功能_33[[#This Row],[功能代號]],E:Q,11,FALSE)=0,"",VLOOKUP(功能_33[[#This Row],[功能代號]],E:Q,11,FALSE)),"")</f>
        <v>邱怡婷</v>
      </c>
      <c r="AH399" s="226"/>
      <c r="AI399" s="226"/>
      <c r="AJ399" s="307"/>
      <c r="AN399" s="307" t="str">
        <f>VLOOKUP(功能_33[[#This Row],[功能代號]],工作表2!B:B,1,FALSE)</f>
        <v>L8032</v>
      </c>
    </row>
    <row r="400" spans="1:40" ht="14.25" hidden="1" customHeight="1">
      <c r="A400" s="224"/>
      <c r="B4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07" t="s">
        <v>107</v>
      </c>
      <c r="D400" s="295" t="s">
        <v>1152</v>
      </c>
      <c r="E400" s="308" t="s">
        <v>1157</v>
      </c>
      <c r="F400" s="307" t="s">
        <v>1158</v>
      </c>
      <c r="G400" s="307" t="s">
        <v>1151</v>
      </c>
      <c r="H400" s="308" t="s">
        <v>147</v>
      </c>
      <c r="I400" s="308" t="s">
        <v>148</v>
      </c>
      <c r="J400" s="287"/>
      <c r="K400" s="226">
        <v>44515</v>
      </c>
      <c r="L400" s="226">
        <v>44517</v>
      </c>
      <c r="M400" s="226" t="str">
        <f>IFERROR(IF(VLOOKUP(功能_33[[#This Row],[功能代號]],討論項目!A:H,8,FALSE)=0,"",VLOOKUP(功能_33[[#This Row],[功能代號]],討論項目!A:H,8,FALSE)),"")</f>
        <v/>
      </c>
      <c r="N400" s="308" t="s">
        <v>7</v>
      </c>
      <c r="O400" s="308" t="s">
        <v>25</v>
      </c>
      <c r="T400" s="308"/>
      <c r="V400" s="308"/>
      <c r="W400" s="308"/>
      <c r="X400" s="307" t="str">
        <f>VLOOKUP(功能_33[[#This Row],[User]],SKL放款!A:G,7,FALSE)</f>
        <v>放款管理課</v>
      </c>
      <c r="Y400" s="228">
        <f>IF(功能_33[[#This Row],[實際展示]]="","",功能_33[[#This Row],[實際展示]]+14)</f>
        <v>44531</v>
      </c>
      <c r="Z400" s="226" t="s">
        <v>2809</v>
      </c>
      <c r="AA400" s="226"/>
      <c r="AB400" s="226"/>
      <c r="AC400" s="226"/>
      <c r="AD400" s="226"/>
      <c r="AE400" s="226"/>
      <c r="AF400" s="355"/>
      <c r="AG400" s="226" t="str">
        <f>IFERROR(IF(VLOOKUP(功能_33[[#This Row],[功能代號]],E:Q,11,FALSE)=0,"",VLOOKUP(功能_33[[#This Row],[功能代號]],E:Q,11,FALSE)),"")</f>
        <v>邱怡婷</v>
      </c>
      <c r="AH400" s="226"/>
      <c r="AI400" s="226"/>
      <c r="AJ400" s="307"/>
      <c r="AN400" s="307" t="e">
        <f>VLOOKUP(功能_33[[#This Row],[功能代號]],工作表2!B:B,1,FALSE)</f>
        <v>#N/A</v>
      </c>
    </row>
    <row r="401" spans="1:40" ht="14.25" hidden="1" customHeight="1">
      <c r="A401" s="224"/>
      <c r="B4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07" t="s">
        <v>107</v>
      </c>
      <c r="D401" s="295" t="s">
        <v>1152</v>
      </c>
      <c r="E401" s="308" t="s">
        <v>1159</v>
      </c>
      <c r="F401" s="307" t="s">
        <v>1160</v>
      </c>
      <c r="G401" s="307" t="s">
        <v>1151</v>
      </c>
      <c r="H401" s="308" t="s">
        <v>147</v>
      </c>
      <c r="I401" s="308" t="s">
        <v>148</v>
      </c>
      <c r="J401" s="287"/>
      <c r="K401" s="226">
        <v>44515</v>
      </c>
      <c r="L401" s="226">
        <v>44517</v>
      </c>
      <c r="M401" s="226" t="str">
        <f>IFERROR(IF(VLOOKUP(功能_33[[#This Row],[功能代號]],討論項目!A:H,8,FALSE)=0,"",VLOOKUP(功能_33[[#This Row],[功能代號]],討論項目!A:H,8,FALSE)),"")</f>
        <v/>
      </c>
      <c r="N401" s="308" t="s">
        <v>7</v>
      </c>
      <c r="O401" s="308" t="s">
        <v>25</v>
      </c>
      <c r="T401" s="308"/>
      <c r="V401" s="308"/>
      <c r="W401" s="308"/>
      <c r="X401" s="307" t="str">
        <f>VLOOKUP(功能_33[[#This Row],[User]],SKL放款!A:G,7,FALSE)</f>
        <v>放款管理課</v>
      </c>
      <c r="Y401" s="228">
        <f>IF(功能_33[[#This Row],[實際展示]]="","",功能_33[[#This Row],[實際展示]]+14)</f>
        <v>44531</v>
      </c>
      <c r="Z401" s="226" t="s">
        <v>2809</v>
      </c>
      <c r="AA401" s="226"/>
      <c r="AB401" s="226"/>
      <c r="AC401" s="226"/>
      <c r="AD401" s="226"/>
      <c r="AE401" s="226"/>
      <c r="AF401" s="355"/>
      <c r="AG401" s="226" t="str">
        <f>IFERROR(IF(VLOOKUP(功能_33[[#This Row],[功能代號]],E:Q,11,FALSE)=0,"",VLOOKUP(功能_33[[#This Row],[功能代號]],E:Q,11,FALSE)),"")</f>
        <v>邱怡婷</v>
      </c>
      <c r="AH401" s="226"/>
      <c r="AI401" s="226"/>
      <c r="AJ401" s="307"/>
      <c r="AN401" s="307" t="e">
        <f>VLOOKUP(功能_33[[#This Row],[功能代號]],工作表2!B:B,1,FALSE)</f>
        <v>#N/A</v>
      </c>
    </row>
    <row r="402" spans="1:40" ht="14.25" hidden="1" customHeight="1">
      <c r="A402" s="224"/>
      <c r="B4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07" t="s">
        <v>107</v>
      </c>
      <c r="D402" s="295" t="s">
        <v>1152</v>
      </c>
      <c r="E402" s="308" t="s">
        <v>1161</v>
      </c>
      <c r="F402" s="307" t="s">
        <v>1162</v>
      </c>
      <c r="G402" s="307" t="s">
        <v>1151</v>
      </c>
      <c r="H402" s="308" t="s">
        <v>147</v>
      </c>
      <c r="I402" s="308" t="s">
        <v>148</v>
      </c>
      <c r="J402" s="287"/>
      <c r="K402" s="226">
        <v>44515</v>
      </c>
      <c r="L402" s="226">
        <v>44517</v>
      </c>
      <c r="M402" s="226" t="str">
        <f>IFERROR(IF(VLOOKUP(功能_33[[#This Row],[功能代號]],討論項目!A:H,8,FALSE)=0,"",VLOOKUP(功能_33[[#This Row],[功能代號]],討論項目!A:H,8,FALSE)),"")</f>
        <v/>
      </c>
      <c r="N402" s="308" t="s">
        <v>7</v>
      </c>
      <c r="O402" s="308" t="s">
        <v>25</v>
      </c>
      <c r="T402" s="308"/>
      <c r="V402" s="308"/>
      <c r="W402" s="308"/>
      <c r="X402" s="307" t="str">
        <f>VLOOKUP(功能_33[[#This Row],[User]],SKL放款!A:G,7,FALSE)</f>
        <v>放款管理課</v>
      </c>
      <c r="Y402" s="228">
        <f>IF(功能_33[[#This Row],[實際展示]]="","",功能_33[[#This Row],[實際展示]]+14)</f>
        <v>44531</v>
      </c>
      <c r="Z402" s="226" t="s">
        <v>2809</v>
      </c>
      <c r="AA402" s="226"/>
      <c r="AB402" s="226"/>
      <c r="AC402" s="226"/>
      <c r="AD402" s="226"/>
      <c r="AE402" s="226"/>
      <c r="AF402" s="355"/>
      <c r="AG402" s="226" t="str">
        <f>IFERROR(IF(VLOOKUP(功能_33[[#This Row],[功能代號]],E:Q,11,FALSE)=0,"",VLOOKUP(功能_33[[#This Row],[功能代號]],E:Q,11,FALSE)),"")</f>
        <v>邱怡婷</v>
      </c>
      <c r="AH402" s="226"/>
      <c r="AI402" s="226"/>
      <c r="AJ402" s="307"/>
      <c r="AN402" s="307" t="e">
        <f>VLOOKUP(功能_33[[#This Row],[功能代號]],工作表2!B:B,1,FALSE)</f>
        <v>#N/A</v>
      </c>
    </row>
    <row r="403" spans="1:40" ht="14.25" hidden="1" customHeight="1">
      <c r="A403" s="224"/>
      <c r="B40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07" t="s">
        <v>107</v>
      </c>
      <c r="D403" s="295" t="s">
        <v>1152</v>
      </c>
      <c r="E403" s="308" t="s">
        <v>1163</v>
      </c>
      <c r="F403" s="307" t="s">
        <v>1164</v>
      </c>
      <c r="G403" s="307" t="s">
        <v>1151</v>
      </c>
      <c r="H403" s="308" t="s">
        <v>147</v>
      </c>
      <c r="I403" s="308" t="s">
        <v>148</v>
      </c>
      <c r="J403" s="287"/>
      <c r="K403" s="226">
        <v>44515</v>
      </c>
      <c r="L403" s="226">
        <v>44517</v>
      </c>
      <c r="M403" s="226" t="str">
        <f>IFERROR(IF(VLOOKUP(功能_33[[#This Row],[功能代號]],討論項目!A:H,8,FALSE)=0,"",VLOOKUP(功能_33[[#This Row],[功能代號]],討論項目!A:H,8,FALSE)),"")</f>
        <v/>
      </c>
      <c r="N403" s="308" t="s">
        <v>7</v>
      </c>
      <c r="O403" s="308" t="s">
        <v>25</v>
      </c>
      <c r="T403" s="308"/>
      <c r="V403" s="308"/>
      <c r="W403" s="308"/>
      <c r="X403" s="307" t="str">
        <f>VLOOKUP(功能_33[[#This Row],[User]],SKL放款!A:G,7,FALSE)</f>
        <v>放款管理課</v>
      </c>
      <c r="Y403" s="228">
        <f>IF(功能_33[[#This Row],[實際展示]]="","",功能_33[[#This Row],[實際展示]]+14)</f>
        <v>44531</v>
      </c>
      <c r="Z403" s="226" t="s">
        <v>2809</v>
      </c>
      <c r="AA403" s="226"/>
      <c r="AB403" s="226"/>
      <c r="AC403" s="226"/>
      <c r="AD403" s="226"/>
      <c r="AE403" s="226"/>
      <c r="AF403" s="355"/>
      <c r="AG403" s="226" t="str">
        <f>IFERROR(IF(VLOOKUP(功能_33[[#This Row],[功能代號]],E:Q,11,FALSE)=0,"",VLOOKUP(功能_33[[#This Row],[功能代號]],E:Q,11,FALSE)),"")</f>
        <v>邱怡婷</v>
      </c>
      <c r="AH403" s="226"/>
      <c r="AI403" s="226"/>
      <c r="AJ403" s="307"/>
      <c r="AN403" s="307" t="e">
        <f>VLOOKUP(功能_33[[#This Row],[功能代號]],工作表2!B:B,1,FALSE)</f>
        <v>#N/A</v>
      </c>
    </row>
    <row r="404" spans="1:40" ht="14.25" hidden="1" customHeight="1">
      <c r="A404" s="224"/>
      <c r="B4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07" t="s">
        <v>107</v>
      </c>
      <c r="D404" s="295" t="s">
        <v>1152</v>
      </c>
      <c r="E404" s="308" t="s">
        <v>1165</v>
      </c>
      <c r="F404" s="307" t="s">
        <v>1166</v>
      </c>
      <c r="G404" s="307" t="s">
        <v>1151</v>
      </c>
      <c r="H404" s="308" t="s">
        <v>147</v>
      </c>
      <c r="I404" s="308" t="s">
        <v>148</v>
      </c>
      <c r="J404" s="287"/>
      <c r="K404" s="226">
        <v>44515</v>
      </c>
      <c r="L404" s="226">
        <v>44517</v>
      </c>
      <c r="M404" s="226" t="str">
        <f>IFERROR(IF(VLOOKUP(功能_33[[#This Row],[功能代號]],討論項目!A:H,8,FALSE)=0,"",VLOOKUP(功能_33[[#This Row],[功能代號]],討論項目!A:H,8,FALSE)),"")</f>
        <v/>
      </c>
      <c r="N404" s="308" t="s">
        <v>7</v>
      </c>
      <c r="O404" s="308" t="s">
        <v>25</v>
      </c>
      <c r="T404" s="308"/>
      <c r="V404" s="308"/>
      <c r="W404" s="308"/>
      <c r="X404" s="307" t="str">
        <f>VLOOKUP(功能_33[[#This Row],[User]],SKL放款!A:G,7,FALSE)</f>
        <v>放款管理課</v>
      </c>
      <c r="Y404" s="228">
        <f>IF(功能_33[[#This Row],[實際展示]]="","",功能_33[[#This Row],[實際展示]]+14)</f>
        <v>44531</v>
      </c>
      <c r="Z404" s="226" t="s">
        <v>2809</v>
      </c>
      <c r="AA404" s="226"/>
      <c r="AB404" s="226"/>
      <c r="AC404" s="226"/>
      <c r="AD404" s="226"/>
      <c r="AE404" s="226"/>
      <c r="AF404" s="355"/>
      <c r="AG404" s="226" t="str">
        <f>IFERROR(IF(VLOOKUP(功能_33[[#This Row],[功能代號]],E:Q,11,FALSE)=0,"",VLOOKUP(功能_33[[#This Row],[功能代號]],E:Q,11,FALSE)),"")</f>
        <v>邱怡婷</v>
      </c>
      <c r="AH404" s="226"/>
      <c r="AI404" s="226"/>
      <c r="AJ404" s="307"/>
      <c r="AN404" s="307" t="e">
        <f>VLOOKUP(功能_33[[#This Row],[功能代號]],工作表2!B:B,1,FALSE)</f>
        <v>#N/A</v>
      </c>
    </row>
    <row r="405" spans="1:40" ht="14.25" hidden="1" customHeight="1">
      <c r="A405" s="224"/>
      <c r="B40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07" t="s">
        <v>107</v>
      </c>
      <c r="D405" s="295" t="s">
        <v>1152</v>
      </c>
      <c r="E405" s="308" t="s">
        <v>1167</v>
      </c>
      <c r="F405" s="307" t="s">
        <v>1168</v>
      </c>
      <c r="G405" s="307" t="s">
        <v>1151</v>
      </c>
      <c r="H405" s="308" t="s">
        <v>147</v>
      </c>
      <c r="I405" s="308" t="s">
        <v>148</v>
      </c>
      <c r="J405" s="287"/>
      <c r="K405" s="226">
        <v>44515</v>
      </c>
      <c r="L405" s="226">
        <v>44517</v>
      </c>
      <c r="M405" s="226" t="str">
        <f>IFERROR(IF(VLOOKUP(功能_33[[#This Row],[功能代號]],討論項目!A:H,8,FALSE)=0,"",VLOOKUP(功能_33[[#This Row],[功能代號]],討論項目!A:H,8,FALSE)),"")</f>
        <v/>
      </c>
      <c r="N405" s="308" t="s">
        <v>7</v>
      </c>
      <c r="O405" s="308" t="s">
        <v>25</v>
      </c>
      <c r="T405" s="308"/>
      <c r="V405" s="308"/>
      <c r="W405" s="308"/>
      <c r="X405" s="307" t="str">
        <f>VLOOKUP(功能_33[[#This Row],[User]],SKL放款!A:G,7,FALSE)</f>
        <v>放款管理課</v>
      </c>
      <c r="Y405" s="228">
        <f>IF(功能_33[[#This Row],[實際展示]]="","",功能_33[[#This Row],[實際展示]]+14)</f>
        <v>44531</v>
      </c>
      <c r="Z405" s="226" t="s">
        <v>2808</v>
      </c>
      <c r="AA405" s="226"/>
      <c r="AB405" s="226"/>
      <c r="AC405" s="226"/>
      <c r="AD405" s="226"/>
      <c r="AE405" s="226"/>
      <c r="AF405" s="355"/>
      <c r="AG405" s="226" t="str">
        <f>IFERROR(IF(VLOOKUP(功能_33[[#This Row],[功能代號]],E:Q,11,FALSE)=0,"",VLOOKUP(功能_33[[#This Row],[功能代號]],E:Q,11,FALSE)),"")</f>
        <v>邱怡婷</v>
      </c>
      <c r="AH405" s="226"/>
      <c r="AI405" s="226"/>
      <c r="AJ405" s="307"/>
      <c r="AN405" s="307" t="str">
        <f>VLOOKUP(功能_33[[#This Row],[功能代號]],工作表2!B:B,1,FALSE)</f>
        <v>L8038</v>
      </c>
    </row>
    <row r="406" spans="1:40" ht="14.25" hidden="1" customHeight="1">
      <c r="A406" s="224"/>
      <c r="B4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07" t="s">
        <v>107</v>
      </c>
      <c r="D406" s="295" t="s">
        <v>1152</v>
      </c>
      <c r="E406" s="308" t="s">
        <v>1169</v>
      </c>
      <c r="F406" s="307" t="s">
        <v>1170</v>
      </c>
      <c r="G406" s="307" t="s">
        <v>1151</v>
      </c>
      <c r="H406" s="308" t="s">
        <v>147</v>
      </c>
      <c r="I406" s="308" t="s">
        <v>148</v>
      </c>
      <c r="J406" s="287"/>
      <c r="K406" s="226">
        <v>44515</v>
      </c>
      <c r="L406" s="226">
        <v>44517</v>
      </c>
      <c r="M406" s="226" t="str">
        <f>IFERROR(IF(VLOOKUP(功能_33[[#This Row],[功能代號]],討論項目!A:H,8,FALSE)=0,"",VLOOKUP(功能_33[[#This Row],[功能代號]],討論項目!A:H,8,FALSE)),"")</f>
        <v/>
      </c>
      <c r="N406" s="308" t="s">
        <v>7</v>
      </c>
      <c r="O406" s="308" t="s">
        <v>25</v>
      </c>
      <c r="T406" s="308"/>
      <c r="V406" s="308"/>
      <c r="W406" s="308"/>
      <c r="X406" s="307" t="str">
        <f>VLOOKUP(功能_33[[#This Row],[User]],SKL放款!A:G,7,FALSE)</f>
        <v>放款管理課</v>
      </c>
      <c r="Y406" s="228">
        <f>IF(功能_33[[#This Row],[實際展示]]="","",功能_33[[#This Row],[實際展示]]+14)</f>
        <v>44531</v>
      </c>
      <c r="Z406" s="226" t="s">
        <v>2808</v>
      </c>
      <c r="AA406" s="226"/>
      <c r="AB406" s="226"/>
      <c r="AC406" s="226"/>
      <c r="AD406" s="226"/>
      <c r="AE406" s="226"/>
      <c r="AF406" s="355"/>
      <c r="AG406" s="226" t="str">
        <f>IFERROR(IF(VLOOKUP(功能_33[[#This Row],[功能代號]],E:Q,11,FALSE)=0,"",VLOOKUP(功能_33[[#This Row],[功能代號]],E:Q,11,FALSE)),"")</f>
        <v>邱怡婷</v>
      </c>
      <c r="AH406" s="226"/>
      <c r="AI406" s="226"/>
      <c r="AJ406" s="307"/>
      <c r="AN406" s="307" t="str">
        <f>VLOOKUP(功能_33[[#This Row],[功能代號]],工作表2!B:B,1,FALSE)</f>
        <v>L8039</v>
      </c>
    </row>
    <row r="407" spans="1:40" ht="14.25" hidden="1" customHeight="1">
      <c r="A407" s="224"/>
      <c r="B4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07" t="s">
        <v>107</v>
      </c>
      <c r="D407" s="295" t="s">
        <v>1152</v>
      </c>
      <c r="E407" s="308" t="s">
        <v>1171</v>
      </c>
      <c r="F407" s="307" t="s">
        <v>1172</v>
      </c>
      <c r="G407" s="307" t="s">
        <v>1151</v>
      </c>
      <c r="H407" s="308" t="s">
        <v>147</v>
      </c>
      <c r="I407" s="308" t="s">
        <v>148</v>
      </c>
      <c r="J407" s="287"/>
      <c r="K407" s="226">
        <v>44515</v>
      </c>
      <c r="L407" s="226">
        <v>44517</v>
      </c>
      <c r="M407" s="226" t="str">
        <f>IFERROR(IF(VLOOKUP(功能_33[[#This Row],[功能代號]],討論項目!A:H,8,FALSE)=0,"",VLOOKUP(功能_33[[#This Row],[功能代號]],討論項目!A:H,8,FALSE)),"")</f>
        <v/>
      </c>
      <c r="N407" s="308" t="s">
        <v>7</v>
      </c>
      <c r="O407" s="308" t="s">
        <v>25</v>
      </c>
      <c r="T407" s="308"/>
      <c r="V407" s="308"/>
      <c r="W407" s="308"/>
      <c r="X407" s="307" t="str">
        <f>VLOOKUP(功能_33[[#This Row],[User]],SKL放款!A:G,7,FALSE)</f>
        <v>放款管理課</v>
      </c>
      <c r="Y407" s="228">
        <f>IF(功能_33[[#This Row],[實際展示]]="","",功能_33[[#This Row],[實際展示]]+14)</f>
        <v>44531</v>
      </c>
      <c r="Z407" s="226" t="s">
        <v>2809</v>
      </c>
      <c r="AA407" s="226"/>
      <c r="AB407" s="226"/>
      <c r="AC407" s="226"/>
      <c r="AD407" s="226"/>
      <c r="AE407" s="226"/>
      <c r="AF407" s="355"/>
      <c r="AG407" s="226" t="str">
        <f>IFERROR(IF(VLOOKUP(功能_33[[#This Row],[功能代號]],E:Q,11,FALSE)=0,"",VLOOKUP(功能_33[[#This Row],[功能代號]],E:Q,11,FALSE)),"")</f>
        <v>邱怡婷</v>
      </c>
      <c r="AH407" s="226"/>
      <c r="AI407" s="226"/>
      <c r="AJ407" s="307"/>
      <c r="AN407" s="307" t="e">
        <f>VLOOKUP(功能_33[[#This Row],[功能代號]],工作表2!B:B,1,FALSE)</f>
        <v>#N/A</v>
      </c>
    </row>
    <row r="408" spans="1:40" ht="14.25" hidden="1" customHeight="1">
      <c r="A408" s="224"/>
      <c r="B4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07" t="s">
        <v>107</v>
      </c>
      <c r="D408" s="295" t="s">
        <v>1152</v>
      </c>
      <c r="E408" s="308" t="s">
        <v>1173</v>
      </c>
      <c r="F408" s="307" t="s">
        <v>1174</v>
      </c>
      <c r="G408" s="307" t="s">
        <v>1151</v>
      </c>
      <c r="H408" s="308" t="s">
        <v>147</v>
      </c>
      <c r="I408" s="308" t="s">
        <v>148</v>
      </c>
      <c r="J408" s="287"/>
      <c r="K408" s="226">
        <v>44516</v>
      </c>
      <c r="L408" s="226">
        <v>44517</v>
      </c>
      <c r="M408" s="226" t="str">
        <f>IFERROR(IF(VLOOKUP(功能_33[[#This Row],[功能代號]],討論項目!A:H,8,FALSE)=0,"",VLOOKUP(功能_33[[#This Row],[功能代號]],討論項目!A:H,8,FALSE)),"")</f>
        <v/>
      </c>
      <c r="N408" s="308" t="s">
        <v>7</v>
      </c>
      <c r="O408" s="308" t="s">
        <v>25</v>
      </c>
      <c r="T408" s="308"/>
      <c r="V408" s="308"/>
      <c r="W408" s="308"/>
      <c r="X408" s="307" t="str">
        <f>VLOOKUP(功能_33[[#This Row],[User]],SKL放款!A:G,7,FALSE)</f>
        <v>放款管理課</v>
      </c>
      <c r="Y408" s="228">
        <f>IF(功能_33[[#This Row],[實際展示]]="","",功能_33[[#This Row],[實際展示]]+14)</f>
        <v>44531</v>
      </c>
      <c r="Z408" s="226" t="s">
        <v>2809</v>
      </c>
      <c r="AA408" s="226"/>
      <c r="AB408" s="226"/>
      <c r="AC408" s="226"/>
      <c r="AD408" s="226"/>
      <c r="AE408" s="226"/>
      <c r="AF408" s="355"/>
      <c r="AG408" s="226" t="str">
        <f>IFERROR(IF(VLOOKUP(功能_33[[#This Row],[功能代號]],E:Q,11,FALSE)=0,"",VLOOKUP(功能_33[[#This Row],[功能代號]],E:Q,11,FALSE)),"")</f>
        <v>邱怡婷</v>
      </c>
      <c r="AH408" s="226"/>
      <c r="AI408" s="226"/>
      <c r="AJ408" s="307"/>
      <c r="AN408" s="307" t="e">
        <f>VLOOKUP(功能_33[[#This Row],[功能代號]],工作表2!B:B,1,FALSE)</f>
        <v>#N/A</v>
      </c>
    </row>
    <row r="409" spans="1:40" ht="14.25" hidden="1" customHeight="1">
      <c r="A409" s="224"/>
      <c r="B4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07" t="s">
        <v>107</v>
      </c>
      <c r="D409" s="295" t="s">
        <v>1152</v>
      </c>
      <c r="E409" s="308" t="s">
        <v>1175</v>
      </c>
      <c r="F409" s="307" t="s">
        <v>1176</v>
      </c>
      <c r="G409" s="307" t="s">
        <v>1151</v>
      </c>
      <c r="H409" s="308" t="s">
        <v>147</v>
      </c>
      <c r="I409" s="308" t="s">
        <v>148</v>
      </c>
      <c r="J409" s="287"/>
      <c r="K409" s="226">
        <v>44516</v>
      </c>
      <c r="L409" s="226">
        <v>44517</v>
      </c>
      <c r="M409" s="226" t="str">
        <f>IFERROR(IF(VLOOKUP(功能_33[[#This Row],[功能代號]],討論項目!A:H,8,FALSE)=0,"",VLOOKUP(功能_33[[#This Row],[功能代號]],討論項目!A:H,8,FALSE)),"")</f>
        <v/>
      </c>
      <c r="N409" s="308" t="s">
        <v>7</v>
      </c>
      <c r="O409" s="308" t="s">
        <v>25</v>
      </c>
      <c r="T409" s="308"/>
      <c r="V409" s="308"/>
      <c r="W409" s="308"/>
      <c r="X409" s="307" t="str">
        <f>VLOOKUP(功能_33[[#This Row],[User]],SKL放款!A:G,7,FALSE)</f>
        <v>放款管理課</v>
      </c>
      <c r="Y409" s="228">
        <f>IF(功能_33[[#This Row],[實際展示]]="","",功能_33[[#This Row],[實際展示]]+14)</f>
        <v>44531</v>
      </c>
      <c r="Z409" s="226" t="s">
        <v>2809</v>
      </c>
      <c r="AA409" s="226"/>
      <c r="AB409" s="226"/>
      <c r="AC409" s="226"/>
      <c r="AD409" s="226"/>
      <c r="AE409" s="226"/>
      <c r="AF409" s="355"/>
      <c r="AG409" s="226" t="str">
        <f>IFERROR(IF(VLOOKUP(功能_33[[#This Row],[功能代號]],E:Q,11,FALSE)=0,"",VLOOKUP(功能_33[[#This Row],[功能代號]],E:Q,11,FALSE)),"")</f>
        <v>邱怡婷</v>
      </c>
      <c r="AH409" s="226"/>
      <c r="AI409" s="226"/>
      <c r="AJ409" s="307"/>
      <c r="AN409" s="307" t="e">
        <f>VLOOKUP(功能_33[[#This Row],[功能代號]],工作表2!B:B,1,FALSE)</f>
        <v>#N/A</v>
      </c>
    </row>
    <row r="410" spans="1:40" ht="14.25" hidden="1" customHeight="1">
      <c r="A410" s="224"/>
      <c r="B4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07" t="s">
        <v>107</v>
      </c>
      <c r="D410" s="295" t="s">
        <v>1152</v>
      </c>
      <c r="E410" s="308" t="s">
        <v>1177</v>
      </c>
      <c r="F410" s="307" t="s">
        <v>1178</v>
      </c>
      <c r="G410" s="307" t="s">
        <v>1151</v>
      </c>
      <c r="H410" s="308" t="s">
        <v>147</v>
      </c>
      <c r="I410" s="308" t="s">
        <v>148</v>
      </c>
      <c r="J410" s="287"/>
      <c r="K410" s="226">
        <v>44516</v>
      </c>
      <c r="L410" s="226">
        <v>44517</v>
      </c>
      <c r="M410" s="226" t="str">
        <f>IFERROR(IF(VLOOKUP(功能_33[[#This Row],[功能代號]],討論項目!A:H,8,FALSE)=0,"",VLOOKUP(功能_33[[#This Row],[功能代號]],討論項目!A:H,8,FALSE)),"")</f>
        <v/>
      </c>
      <c r="N410" s="308" t="s">
        <v>7</v>
      </c>
      <c r="O410" s="308" t="s">
        <v>25</v>
      </c>
      <c r="T410" s="308"/>
      <c r="V410" s="308"/>
      <c r="W410" s="308"/>
      <c r="X410" s="307" t="str">
        <f>VLOOKUP(功能_33[[#This Row],[User]],SKL放款!A:G,7,FALSE)</f>
        <v>放款管理課</v>
      </c>
      <c r="Y410" s="228">
        <f>IF(功能_33[[#This Row],[實際展示]]="","",功能_33[[#This Row],[實際展示]]+14)</f>
        <v>44531</v>
      </c>
      <c r="Z410" s="226" t="s">
        <v>2809</v>
      </c>
      <c r="AA410" s="226"/>
      <c r="AB410" s="226"/>
      <c r="AC410" s="226"/>
      <c r="AD410" s="226"/>
      <c r="AE410" s="226"/>
      <c r="AF410" s="355"/>
      <c r="AG410" s="226" t="str">
        <f>IFERROR(IF(VLOOKUP(功能_33[[#This Row],[功能代號]],E:Q,11,FALSE)=0,"",VLOOKUP(功能_33[[#This Row],[功能代號]],E:Q,11,FALSE)),"")</f>
        <v>邱怡婷</v>
      </c>
      <c r="AH410" s="226"/>
      <c r="AI410" s="226"/>
      <c r="AJ410" s="307"/>
      <c r="AN410" s="307" t="e">
        <f>VLOOKUP(功能_33[[#This Row],[功能代號]],工作表2!B:B,1,FALSE)</f>
        <v>#N/A</v>
      </c>
    </row>
    <row r="411" spans="1:40" ht="14.25" hidden="1" customHeight="1">
      <c r="A411" s="224"/>
      <c r="B4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07" t="s">
        <v>107</v>
      </c>
      <c r="D411" s="295" t="s">
        <v>1152</v>
      </c>
      <c r="E411" s="308" t="s">
        <v>1179</v>
      </c>
      <c r="F411" s="307" t="s">
        <v>1180</v>
      </c>
      <c r="G411" s="307" t="s">
        <v>1151</v>
      </c>
      <c r="H411" s="308" t="s">
        <v>147</v>
      </c>
      <c r="I411" s="308" t="s">
        <v>148</v>
      </c>
      <c r="J411" s="287"/>
      <c r="K411" s="226">
        <v>44516</v>
      </c>
      <c r="L411" s="226">
        <v>44517</v>
      </c>
      <c r="M411" s="226" t="str">
        <f>IFERROR(IF(VLOOKUP(功能_33[[#This Row],[功能代號]],討論項目!A:H,8,FALSE)=0,"",VLOOKUP(功能_33[[#This Row],[功能代號]],討論項目!A:H,8,FALSE)),"")</f>
        <v/>
      </c>
      <c r="N411" s="308" t="s">
        <v>7</v>
      </c>
      <c r="O411" s="308" t="s">
        <v>25</v>
      </c>
      <c r="T411" s="308"/>
      <c r="V411" s="308"/>
      <c r="W411" s="308"/>
      <c r="X411" s="307" t="str">
        <f>VLOOKUP(功能_33[[#This Row],[User]],SKL放款!A:G,7,FALSE)</f>
        <v>放款管理課</v>
      </c>
      <c r="Y411" s="228">
        <f>IF(功能_33[[#This Row],[實際展示]]="","",功能_33[[#This Row],[實際展示]]+14)</f>
        <v>44531</v>
      </c>
      <c r="Z411" s="226" t="s">
        <v>2809</v>
      </c>
      <c r="AA411" s="226"/>
      <c r="AB411" s="226"/>
      <c r="AC411" s="226"/>
      <c r="AD411" s="226"/>
      <c r="AE411" s="226"/>
      <c r="AF411" s="355"/>
      <c r="AG411" s="226" t="str">
        <f>IFERROR(IF(VLOOKUP(功能_33[[#This Row],[功能代號]],E:Q,11,FALSE)=0,"",VLOOKUP(功能_33[[#This Row],[功能代號]],E:Q,11,FALSE)),"")</f>
        <v>邱怡婷</v>
      </c>
      <c r="AH411" s="226"/>
      <c r="AI411" s="226"/>
      <c r="AJ411" s="307"/>
      <c r="AN411" s="307" t="e">
        <f>VLOOKUP(功能_33[[#This Row],[功能代號]],工作表2!B:B,1,FALSE)</f>
        <v>#N/A</v>
      </c>
    </row>
    <row r="412" spans="1:40" ht="14.25" hidden="1" customHeight="1">
      <c r="A412" s="224"/>
      <c r="B41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07" t="s">
        <v>107</v>
      </c>
      <c r="D412" s="295" t="s">
        <v>1152</v>
      </c>
      <c r="E412" s="308" t="s">
        <v>1181</v>
      </c>
      <c r="F412" s="307" t="s">
        <v>1182</v>
      </c>
      <c r="G412" s="307" t="s">
        <v>1151</v>
      </c>
      <c r="H412" s="308" t="s">
        <v>147</v>
      </c>
      <c r="I412" s="308" t="s">
        <v>148</v>
      </c>
      <c r="J412" s="287"/>
      <c r="K412" s="226">
        <v>44516</v>
      </c>
      <c r="L412" s="226">
        <v>44517</v>
      </c>
      <c r="M412" s="226" t="str">
        <f>IFERROR(IF(VLOOKUP(功能_33[[#This Row],[功能代號]],討論項目!A:H,8,FALSE)=0,"",VLOOKUP(功能_33[[#This Row],[功能代號]],討論項目!A:H,8,FALSE)),"")</f>
        <v/>
      </c>
      <c r="N412" s="308" t="s">
        <v>7</v>
      </c>
      <c r="O412" s="308" t="s">
        <v>25</v>
      </c>
      <c r="T412" s="308"/>
      <c r="V412" s="308"/>
      <c r="W412" s="308"/>
      <c r="X412" s="307" t="str">
        <f>VLOOKUP(功能_33[[#This Row],[User]],SKL放款!A:G,7,FALSE)</f>
        <v>放款管理課</v>
      </c>
      <c r="Y412" s="228">
        <f>IF(功能_33[[#This Row],[實際展示]]="","",功能_33[[#This Row],[實際展示]]+14)</f>
        <v>44531</v>
      </c>
      <c r="Z412" s="226" t="s">
        <v>2809</v>
      </c>
      <c r="AA412" s="226"/>
      <c r="AB412" s="226"/>
      <c r="AC412" s="226"/>
      <c r="AD412" s="226"/>
      <c r="AE412" s="226"/>
      <c r="AF412" s="355"/>
      <c r="AG412" s="226" t="str">
        <f>IFERROR(IF(VLOOKUP(功能_33[[#This Row],[功能代號]],E:Q,11,FALSE)=0,"",VLOOKUP(功能_33[[#This Row],[功能代號]],E:Q,11,FALSE)),"")</f>
        <v>邱怡婷</v>
      </c>
      <c r="AH412" s="226"/>
      <c r="AI412" s="226"/>
      <c r="AJ412" s="307"/>
      <c r="AN412" s="307" t="e">
        <f>VLOOKUP(功能_33[[#This Row],[功能代號]],工作表2!B:B,1,FALSE)</f>
        <v>#N/A</v>
      </c>
    </row>
    <row r="413" spans="1:40" ht="14.25" hidden="1" customHeight="1">
      <c r="A413" s="224"/>
      <c r="B4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07" t="s">
        <v>107</v>
      </c>
      <c r="D413" s="295" t="s">
        <v>1152</v>
      </c>
      <c r="E413" s="308" t="s">
        <v>1183</v>
      </c>
      <c r="F413" s="307" t="s">
        <v>1184</v>
      </c>
      <c r="G413" s="307" t="s">
        <v>1151</v>
      </c>
      <c r="H413" s="308" t="s">
        <v>147</v>
      </c>
      <c r="I413" s="308" t="s">
        <v>148</v>
      </c>
      <c r="J413" s="287"/>
      <c r="K413" s="226">
        <v>44516</v>
      </c>
      <c r="L413" s="226">
        <v>44517</v>
      </c>
      <c r="M413" s="226" t="str">
        <f>IFERROR(IF(VLOOKUP(功能_33[[#This Row],[功能代號]],討論項目!A:H,8,FALSE)=0,"",VLOOKUP(功能_33[[#This Row],[功能代號]],討論項目!A:H,8,FALSE)),"")</f>
        <v/>
      </c>
      <c r="N413" s="308" t="s">
        <v>7</v>
      </c>
      <c r="O413" s="308" t="s">
        <v>25</v>
      </c>
      <c r="T413" s="308"/>
      <c r="V413" s="308"/>
      <c r="W413" s="308"/>
      <c r="X413" s="307" t="str">
        <f>VLOOKUP(功能_33[[#This Row],[User]],SKL放款!A:G,7,FALSE)</f>
        <v>放款管理課</v>
      </c>
      <c r="Y413" s="228">
        <f>IF(功能_33[[#This Row],[實際展示]]="","",功能_33[[#This Row],[實際展示]]+14)</f>
        <v>44531</v>
      </c>
      <c r="Z413" s="226" t="s">
        <v>2809</v>
      </c>
      <c r="AA413" s="226"/>
      <c r="AB413" s="226"/>
      <c r="AC413" s="226"/>
      <c r="AD413" s="226"/>
      <c r="AE413" s="226"/>
      <c r="AF413" s="355"/>
      <c r="AG413" s="226" t="str">
        <f>IFERROR(IF(VLOOKUP(功能_33[[#This Row],[功能代號]],E:Q,11,FALSE)=0,"",VLOOKUP(功能_33[[#This Row],[功能代號]],E:Q,11,FALSE)),"")</f>
        <v>邱怡婷</v>
      </c>
      <c r="AH413" s="226"/>
      <c r="AI413" s="226"/>
      <c r="AJ413" s="307"/>
      <c r="AN413" s="307" t="e">
        <f>VLOOKUP(功能_33[[#This Row],[功能代號]],工作表2!B:B,1,FALSE)</f>
        <v>#N/A</v>
      </c>
    </row>
    <row r="414" spans="1:40" ht="14.25" hidden="1" customHeight="1">
      <c r="A414" s="224"/>
      <c r="B41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07" t="s">
        <v>107</v>
      </c>
      <c r="D414" s="295" t="s">
        <v>1152</v>
      </c>
      <c r="E414" s="308" t="s">
        <v>1185</v>
      </c>
      <c r="F414" s="307" t="s">
        <v>1186</v>
      </c>
      <c r="G414" s="307" t="s">
        <v>1151</v>
      </c>
      <c r="H414" s="308" t="s">
        <v>147</v>
      </c>
      <c r="I414" s="308" t="s">
        <v>148</v>
      </c>
      <c r="J414" s="287"/>
      <c r="K414" s="226">
        <v>44516</v>
      </c>
      <c r="L414" s="226">
        <v>44517</v>
      </c>
      <c r="M414" s="226" t="str">
        <f>IFERROR(IF(VLOOKUP(功能_33[[#This Row],[功能代號]],討論項目!A:H,8,FALSE)=0,"",VLOOKUP(功能_33[[#This Row],[功能代號]],討論項目!A:H,8,FALSE)),"")</f>
        <v/>
      </c>
      <c r="N414" s="308" t="s">
        <v>7</v>
      </c>
      <c r="O414" s="308" t="s">
        <v>25</v>
      </c>
      <c r="T414" s="308"/>
      <c r="V414" s="308"/>
      <c r="W414" s="308"/>
      <c r="X414" s="307" t="str">
        <f>VLOOKUP(功能_33[[#This Row],[User]],SKL放款!A:G,7,FALSE)</f>
        <v>放款管理課</v>
      </c>
      <c r="Y414" s="228">
        <f>IF(功能_33[[#This Row],[實際展示]]="","",功能_33[[#This Row],[實際展示]]+14)</f>
        <v>44531</v>
      </c>
      <c r="Z414" s="226" t="s">
        <v>2809</v>
      </c>
      <c r="AA414" s="226"/>
      <c r="AB414" s="226"/>
      <c r="AC414" s="226"/>
      <c r="AD414" s="226"/>
      <c r="AE414" s="226"/>
      <c r="AF414" s="355"/>
      <c r="AG414" s="226" t="str">
        <f>IFERROR(IF(VLOOKUP(功能_33[[#This Row],[功能代號]],E:Q,11,FALSE)=0,"",VLOOKUP(功能_33[[#This Row],[功能代號]],E:Q,11,FALSE)),"")</f>
        <v>邱怡婷</v>
      </c>
      <c r="AH414" s="226"/>
      <c r="AI414" s="226"/>
      <c r="AJ414" s="307"/>
      <c r="AN414" s="307" t="e">
        <f>VLOOKUP(功能_33[[#This Row],[功能代號]],工作表2!B:B,1,FALSE)</f>
        <v>#N/A</v>
      </c>
    </row>
    <row r="415" spans="1:40" ht="14.25" hidden="1" customHeight="1">
      <c r="A415" s="224"/>
      <c r="B41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07" t="s">
        <v>107</v>
      </c>
      <c r="D415" s="295" t="s">
        <v>1152</v>
      </c>
      <c r="E415" s="308" t="s">
        <v>1187</v>
      </c>
      <c r="F415" s="307" t="s">
        <v>1188</v>
      </c>
      <c r="G415" s="307" t="s">
        <v>1151</v>
      </c>
      <c r="H415" s="308" t="s">
        <v>147</v>
      </c>
      <c r="I415" s="308" t="s">
        <v>148</v>
      </c>
      <c r="J415" s="287"/>
      <c r="K415" s="226">
        <v>44517</v>
      </c>
      <c r="L415" s="226">
        <v>44517</v>
      </c>
      <c r="M415" s="226" t="str">
        <f>IFERROR(IF(VLOOKUP(功能_33[[#This Row],[功能代號]],討論項目!A:H,8,FALSE)=0,"",VLOOKUP(功能_33[[#This Row],[功能代號]],討論項目!A:H,8,FALSE)),"")</f>
        <v/>
      </c>
      <c r="N415" s="308" t="s">
        <v>7</v>
      </c>
      <c r="O415" s="308" t="s">
        <v>25</v>
      </c>
      <c r="T415" s="308"/>
      <c r="V415" s="308"/>
      <c r="W415" s="308"/>
      <c r="X415" s="307" t="str">
        <f>VLOOKUP(功能_33[[#This Row],[User]],SKL放款!A:G,7,FALSE)</f>
        <v>放款管理課</v>
      </c>
      <c r="Y415" s="228">
        <f>IF(功能_33[[#This Row],[實際展示]]="","",功能_33[[#This Row],[實際展示]]+14)</f>
        <v>44531</v>
      </c>
      <c r="Z415" s="226" t="s">
        <v>2809</v>
      </c>
      <c r="AA415" s="226"/>
      <c r="AB415" s="226"/>
      <c r="AC415" s="226"/>
      <c r="AD415" s="226"/>
      <c r="AE415" s="226"/>
      <c r="AF415" s="355"/>
      <c r="AG415" s="226" t="str">
        <f>IFERROR(IF(VLOOKUP(功能_33[[#This Row],[功能代號]],E:Q,11,FALSE)=0,"",VLOOKUP(功能_33[[#This Row],[功能代號]],E:Q,11,FALSE)),"")</f>
        <v>邱怡婷</v>
      </c>
      <c r="AH415" s="226"/>
      <c r="AI415" s="226"/>
      <c r="AJ415" s="307"/>
      <c r="AN415" s="307" t="e">
        <f>VLOOKUP(功能_33[[#This Row],[功能代號]],工作表2!B:B,1,FALSE)</f>
        <v>#N/A</v>
      </c>
    </row>
    <row r="416" spans="1:40" ht="14.25" hidden="1" customHeight="1">
      <c r="A416" s="224"/>
      <c r="B4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07" t="s">
        <v>107</v>
      </c>
      <c r="D416" s="295" t="s">
        <v>1152</v>
      </c>
      <c r="E416" s="308" t="s">
        <v>1189</v>
      </c>
      <c r="F416" s="307" t="s">
        <v>1190</v>
      </c>
      <c r="G416" s="307" t="s">
        <v>1151</v>
      </c>
      <c r="H416" s="308" t="s">
        <v>147</v>
      </c>
      <c r="I416" s="308" t="s">
        <v>148</v>
      </c>
      <c r="J416" s="287"/>
      <c r="K416" s="226">
        <v>44517</v>
      </c>
      <c r="L416" s="226">
        <v>44517</v>
      </c>
      <c r="M416" s="226" t="str">
        <f>IFERROR(IF(VLOOKUP(功能_33[[#This Row],[功能代號]],討論項目!A:H,8,FALSE)=0,"",VLOOKUP(功能_33[[#This Row],[功能代號]],討論項目!A:H,8,FALSE)),"")</f>
        <v/>
      </c>
      <c r="N416" s="308" t="s">
        <v>7</v>
      </c>
      <c r="O416" s="308" t="s">
        <v>25</v>
      </c>
      <c r="T416" s="308"/>
      <c r="V416" s="308"/>
      <c r="W416" s="308"/>
      <c r="X416" s="307" t="str">
        <f>VLOOKUP(功能_33[[#This Row],[User]],SKL放款!A:G,7,FALSE)</f>
        <v>放款管理課</v>
      </c>
      <c r="Y416" s="228">
        <f>IF(功能_33[[#This Row],[實際展示]]="","",功能_33[[#This Row],[實際展示]]+14)</f>
        <v>44531</v>
      </c>
      <c r="Z416" s="226" t="s">
        <v>2809</v>
      </c>
      <c r="AA416" s="226"/>
      <c r="AB416" s="226"/>
      <c r="AC416" s="226"/>
      <c r="AD416" s="226"/>
      <c r="AE416" s="226"/>
      <c r="AF416" s="355"/>
      <c r="AG416" s="226" t="str">
        <f>IFERROR(IF(VLOOKUP(功能_33[[#This Row],[功能代號]],E:Q,11,FALSE)=0,"",VLOOKUP(功能_33[[#This Row],[功能代號]],E:Q,11,FALSE)),"")</f>
        <v>邱怡婷</v>
      </c>
      <c r="AH416" s="226"/>
      <c r="AI416" s="226"/>
      <c r="AJ416" s="307"/>
      <c r="AN416" s="307" t="e">
        <f>VLOOKUP(功能_33[[#This Row],[功能代號]],工作表2!B:B,1,FALSE)</f>
        <v>#N/A</v>
      </c>
    </row>
    <row r="417" spans="1:40" ht="14.25" hidden="1" customHeight="1">
      <c r="A417" s="224"/>
      <c r="B4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07" t="s">
        <v>107</v>
      </c>
      <c r="D417" s="295" t="s">
        <v>1152</v>
      </c>
      <c r="E417" s="308" t="s">
        <v>1191</v>
      </c>
      <c r="F417" s="307" t="s">
        <v>1192</v>
      </c>
      <c r="G417" s="307" t="s">
        <v>1151</v>
      </c>
      <c r="H417" s="308" t="s">
        <v>147</v>
      </c>
      <c r="I417" s="308" t="s">
        <v>148</v>
      </c>
      <c r="J417" s="287"/>
      <c r="K417" s="226">
        <v>44517</v>
      </c>
      <c r="L417" s="226">
        <v>44517</v>
      </c>
      <c r="M417" s="226" t="str">
        <f>IFERROR(IF(VLOOKUP(功能_33[[#This Row],[功能代號]],討論項目!A:H,8,FALSE)=0,"",VLOOKUP(功能_33[[#This Row],[功能代號]],討論項目!A:H,8,FALSE)),"")</f>
        <v/>
      </c>
      <c r="N417" s="308" t="s">
        <v>7</v>
      </c>
      <c r="O417" s="308" t="s">
        <v>25</v>
      </c>
      <c r="T417" s="308"/>
      <c r="V417" s="308"/>
      <c r="W417" s="308"/>
      <c r="X417" s="307" t="str">
        <f>VLOOKUP(功能_33[[#This Row],[User]],SKL放款!A:G,7,FALSE)</f>
        <v>放款管理課</v>
      </c>
      <c r="Y417" s="228">
        <f>IF(功能_33[[#This Row],[實際展示]]="","",功能_33[[#This Row],[實際展示]]+14)</f>
        <v>44531</v>
      </c>
      <c r="Z417" s="226" t="s">
        <v>2809</v>
      </c>
      <c r="AA417" s="226"/>
      <c r="AB417" s="226"/>
      <c r="AC417" s="226"/>
      <c r="AD417" s="226"/>
      <c r="AE417" s="226"/>
      <c r="AF417" s="355"/>
      <c r="AG417" s="226" t="str">
        <f>IFERROR(IF(VLOOKUP(功能_33[[#This Row],[功能代號]],E:Q,11,FALSE)=0,"",VLOOKUP(功能_33[[#This Row],[功能代號]],E:Q,11,FALSE)),"")</f>
        <v>邱怡婷</v>
      </c>
      <c r="AH417" s="226"/>
      <c r="AI417" s="226"/>
      <c r="AJ417" s="307"/>
      <c r="AN417" s="307" t="e">
        <f>VLOOKUP(功能_33[[#This Row],[功能代號]],工作表2!B:B,1,FALSE)</f>
        <v>#N/A</v>
      </c>
    </row>
    <row r="418" spans="1:40" ht="14.25" hidden="1" customHeight="1">
      <c r="A418" s="224"/>
      <c r="B41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07" t="s">
        <v>107</v>
      </c>
      <c r="D418" s="295" t="s">
        <v>1152</v>
      </c>
      <c r="E418" s="308" t="s">
        <v>1193</v>
      </c>
      <c r="F418" s="307" t="s">
        <v>1194</v>
      </c>
      <c r="G418" s="307" t="s">
        <v>1151</v>
      </c>
      <c r="H418" s="308" t="s">
        <v>147</v>
      </c>
      <c r="I418" s="308" t="s">
        <v>148</v>
      </c>
      <c r="J418" s="287"/>
      <c r="K418" s="226">
        <v>44517</v>
      </c>
      <c r="L418" s="226">
        <v>44517</v>
      </c>
      <c r="M418" s="226" t="str">
        <f>IFERROR(IF(VLOOKUP(功能_33[[#This Row],[功能代號]],討論項目!A:H,8,FALSE)=0,"",VLOOKUP(功能_33[[#This Row],[功能代號]],討論項目!A:H,8,FALSE)),"")</f>
        <v/>
      </c>
      <c r="N418" s="308" t="s">
        <v>7</v>
      </c>
      <c r="O418" s="308" t="s">
        <v>25</v>
      </c>
      <c r="T418" s="308"/>
      <c r="V418" s="308"/>
      <c r="W418" s="308"/>
      <c r="X418" s="307" t="str">
        <f>VLOOKUP(功能_33[[#This Row],[User]],SKL放款!A:G,7,FALSE)</f>
        <v>放款管理課</v>
      </c>
      <c r="Y418" s="228">
        <f>IF(功能_33[[#This Row],[實際展示]]="","",功能_33[[#This Row],[實際展示]]+14)</f>
        <v>44531</v>
      </c>
      <c r="Z418" s="226" t="s">
        <v>2809</v>
      </c>
      <c r="AA418" s="226"/>
      <c r="AB418" s="226"/>
      <c r="AC418" s="226"/>
      <c r="AD418" s="226"/>
      <c r="AE418" s="226"/>
      <c r="AF418" s="355"/>
      <c r="AG418" s="226" t="str">
        <f>IFERROR(IF(VLOOKUP(功能_33[[#This Row],[功能代號]],E:Q,11,FALSE)=0,"",VLOOKUP(功能_33[[#This Row],[功能代號]],E:Q,11,FALSE)),"")</f>
        <v>邱怡婷</v>
      </c>
      <c r="AH418" s="226"/>
      <c r="AI418" s="226"/>
      <c r="AJ418" s="307"/>
      <c r="AN418" s="307" t="e">
        <f>VLOOKUP(功能_33[[#This Row],[功能代號]],工作表2!B:B,1,FALSE)</f>
        <v>#N/A</v>
      </c>
    </row>
    <row r="419" spans="1:40" ht="14.25" hidden="1" customHeight="1">
      <c r="A419" s="224"/>
      <c r="B4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07" t="s">
        <v>107</v>
      </c>
      <c r="D419" s="295" t="s">
        <v>1152</v>
      </c>
      <c r="E419" s="308" t="s">
        <v>1195</v>
      </c>
      <c r="F419" s="307" t="s">
        <v>1196</v>
      </c>
      <c r="G419" s="307" t="s">
        <v>1151</v>
      </c>
      <c r="H419" s="308" t="s">
        <v>147</v>
      </c>
      <c r="I419" s="308" t="s">
        <v>148</v>
      </c>
      <c r="J419" s="287"/>
      <c r="K419" s="226">
        <v>44518</v>
      </c>
      <c r="L419" s="226">
        <v>44517</v>
      </c>
      <c r="M419" s="226" t="str">
        <f>IFERROR(IF(VLOOKUP(功能_33[[#This Row],[功能代號]],討論項目!A:H,8,FALSE)=0,"",VLOOKUP(功能_33[[#This Row],[功能代號]],討論項目!A:H,8,FALSE)),"")</f>
        <v/>
      </c>
      <c r="N419" s="308" t="s">
        <v>7</v>
      </c>
      <c r="O419" s="308" t="s">
        <v>25</v>
      </c>
      <c r="T419" s="308"/>
      <c r="V419" s="308"/>
      <c r="W419" s="308"/>
      <c r="X419" s="307" t="str">
        <f>VLOOKUP(功能_33[[#This Row],[User]],SKL放款!A:G,7,FALSE)</f>
        <v>放款管理課</v>
      </c>
      <c r="Y419" s="228">
        <f>IF(功能_33[[#This Row],[實際展示]]="","",功能_33[[#This Row],[實際展示]]+14)</f>
        <v>44531</v>
      </c>
      <c r="Z419" s="226" t="s">
        <v>2809</v>
      </c>
      <c r="AA419" s="226"/>
      <c r="AB419" s="226"/>
      <c r="AC419" s="226"/>
      <c r="AD419" s="226"/>
      <c r="AE419" s="226"/>
      <c r="AF419" s="355"/>
      <c r="AG419" s="226" t="str">
        <f>IFERROR(IF(VLOOKUP(功能_33[[#This Row],[功能代號]],E:Q,11,FALSE)=0,"",VLOOKUP(功能_33[[#This Row],[功能代號]],E:Q,11,FALSE)),"")</f>
        <v>邱怡婷</v>
      </c>
      <c r="AH419" s="226"/>
      <c r="AI419" s="226"/>
      <c r="AJ419" s="307"/>
      <c r="AN419" s="307" t="e">
        <f>VLOOKUP(功能_33[[#This Row],[功能代號]],工作表2!B:B,1,FALSE)</f>
        <v>#N/A</v>
      </c>
    </row>
    <row r="420" spans="1:40" ht="14.25" hidden="1" customHeight="1">
      <c r="A420" s="224"/>
      <c r="B42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07" t="s">
        <v>107</v>
      </c>
      <c r="D420" s="295" t="s">
        <v>1152</v>
      </c>
      <c r="E420" s="308" t="s">
        <v>1197</v>
      </c>
      <c r="F420" s="307" t="s">
        <v>1198</v>
      </c>
      <c r="G420" s="307" t="s">
        <v>1151</v>
      </c>
      <c r="H420" s="308" t="s">
        <v>147</v>
      </c>
      <c r="I420" s="308" t="s">
        <v>148</v>
      </c>
      <c r="J420" s="287"/>
      <c r="K420" s="226">
        <v>44518</v>
      </c>
      <c r="L420" s="226">
        <v>44517</v>
      </c>
      <c r="M420" s="226" t="str">
        <f>IFERROR(IF(VLOOKUP(功能_33[[#This Row],[功能代號]],討論項目!A:H,8,FALSE)=0,"",VLOOKUP(功能_33[[#This Row],[功能代號]],討論項目!A:H,8,FALSE)),"")</f>
        <v/>
      </c>
      <c r="N420" s="308" t="s">
        <v>7</v>
      </c>
      <c r="O420" s="308" t="s">
        <v>25</v>
      </c>
      <c r="T420" s="308"/>
      <c r="V420" s="308"/>
      <c r="W420" s="308"/>
      <c r="X420" s="307" t="str">
        <f>VLOOKUP(功能_33[[#This Row],[User]],SKL放款!A:G,7,FALSE)</f>
        <v>放款管理課</v>
      </c>
      <c r="Y420" s="228">
        <f>IF(功能_33[[#This Row],[實際展示]]="","",功能_33[[#This Row],[實際展示]]+14)</f>
        <v>44531</v>
      </c>
      <c r="Z420" s="226" t="s">
        <v>2809</v>
      </c>
      <c r="AA420" s="226"/>
      <c r="AB420" s="226"/>
      <c r="AC420" s="226"/>
      <c r="AD420" s="226"/>
      <c r="AE420" s="226"/>
      <c r="AF420" s="355"/>
      <c r="AG420" s="226" t="str">
        <f>IFERROR(IF(VLOOKUP(功能_33[[#This Row],[功能代號]],E:Q,11,FALSE)=0,"",VLOOKUP(功能_33[[#This Row],[功能代號]],E:Q,11,FALSE)),"")</f>
        <v>邱怡婷</v>
      </c>
      <c r="AH420" s="226"/>
      <c r="AI420" s="226"/>
      <c r="AJ420" s="307"/>
      <c r="AN420" s="307" t="e">
        <f>VLOOKUP(功能_33[[#This Row],[功能代號]],工作表2!B:B,1,FALSE)</f>
        <v>#N/A</v>
      </c>
    </row>
    <row r="421" spans="1:40" ht="14.25" hidden="1" customHeight="1">
      <c r="A421" s="224"/>
      <c r="B4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07" t="s">
        <v>107</v>
      </c>
      <c r="D421" s="295" t="s">
        <v>1152</v>
      </c>
      <c r="E421" s="308" t="s">
        <v>1199</v>
      </c>
      <c r="F421" s="307" t="s">
        <v>1200</v>
      </c>
      <c r="G421" s="307" t="s">
        <v>1151</v>
      </c>
      <c r="H421" s="308" t="s">
        <v>147</v>
      </c>
      <c r="I421" s="308" t="s">
        <v>148</v>
      </c>
      <c r="J421" s="287"/>
      <c r="K421" s="226">
        <v>44518</v>
      </c>
      <c r="L421" s="226">
        <v>44517</v>
      </c>
      <c r="M421" s="226" t="str">
        <f>IFERROR(IF(VLOOKUP(功能_33[[#This Row],[功能代號]],討論項目!A:H,8,FALSE)=0,"",VLOOKUP(功能_33[[#This Row],[功能代號]],討論項目!A:H,8,FALSE)),"")</f>
        <v/>
      </c>
      <c r="N421" s="308" t="s">
        <v>7</v>
      </c>
      <c r="O421" s="308" t="s">
        <v>25</v>
      </c>
      <c r="T421" s="308"/>
      <c r="V421" s="308"/>
      <c r="W421" s="308"/>
      <c r="X421" s="307" t="str">
        <f>VLOOKUP(功能_33[[#This Row],[User]],SKL放款!A:G,7,FALSE)</f>
        <v>放款管理課</v>
      </c>
      <c r="Y421" s="228">
        <f>IF(功能_33[[#This Row],[實際展示]]="","",功能_33[[#This Row],[實際展示]]+14)</f>
        <v>44531</v>
      </c>
      <c r="Z421" s="226" t="s">
        <v>2809</v>
      </c>
      <c r="AA421" s="226"/>
      <c r="AB421" s="226"/>
      <c r="AC421" s="226"/>
      <c r="AD421" s="226"/>
      <c r="AE421" s="226"/>
      <c r="AF421" s="355"/>
      <c r="AG421" s="226" t="str">
        <f>IFERROR(IF(VLOOKUP(功能_33[[#This Row],[功能代號]],E:Q,11,FALSE)=0,"",VLOOKUP(功能_33[[#This Row],[功能代號]],E:Q,11,FALSE)),"")</f>
        <v>邱怡婷</v>
      </c>
      <c r="AH421" s="226"/>
      <c r="AI421" s="226"/>
      <c r="AJ421" s="307"/>
      <c r="AN421" s="307" t="e">
        <f>VLOOKUP(功能_33[[#This Row],[功能代號]],工作表2!B:B,1,FALSE)</f>
        <v>#N/A</v>
      </c>
    </row>
    <row r="422" spans="1:40" ht="14.25" hidden="1" customHeight="1">
      <c r="A422" s="224"/>
      <c r="B4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07" t="s">
        <v>107</v>
      </c>
      <c r="D422" s="295" t="s">
        <v>1152</v>
      </c>
      <c r="E422" s="308" t="s">
        <v>1201</v>
      </c>
      <c r="F422" s="307" t="s">
        <v>1202</v>
      </c>
      <c r="G422" s="307" t="s">
        <v>1151</v>
      </c>
      <c r="H422" s="308" t="s">
        <v>147</v>
      </c>
      <c r="I422" s="308" t="s">
        <v>148</v>
      </c>
      <c r="J422" s="287"/>
      <c r="K422" s="226">
        <v>44518</v>
      </c>
      <c r="L422" s="226">
        <v>44517</v>
      </c>
      <c r="M422" s="226" t="str">
        <f>IFERROR(IF(VLOOKUP(功能_33[[#This Row],[功能代號]],討論項目!A:H,8,FALSE)=0,"",VLOOKUP(功能_33[[#This Row],[功能代號]],討論項目!A:H,8,FALSE)),"")</f>
        <v/>
      </c>
      <c r="N422" s="308" t="s">
        <v>7</v>
      </c>
      <c r="O422" s="308" t="s">
        <v>25</v>
      </c>
      <c r="T422" s="308"/>
      <c r="V422" s="308"/>
      <c r="W422" s="308"/>
      <c r="X422" s="307" t="str">
        <f>VLOOKUP(功能_33[[#This Row],[User]],SKL放款!A:G,7,FALSE)</f>
        <v>放款管理課</v>
      </c>
      <c r="Y422" s="228">
        <f>IF(功能_33[[#This Row],[實際展示]]="","",功能_33[[#This Row],[實際展示]]+14)</f>
        <v>44531</v>
      </c>
      <c r="Z422" s="226" t="s">
        <v>2809</v>
      </c>
      <c r="AA422" s="226"/>
      <c r="AB422" s="226"/>
      <c r="AC422" s="226"/>
      <c r="AD422" s="226"/>
      <c r="AE422" s="226"/>
      <c r="AF422" s="355"/>
      <c r="AG422" s="226" t="str">
        <f>IFERROR(IF(VLOOKUP(功能_33[[#This Row],[功能代號]],E:Q,11,FALSE)=0,"",VLOOKUP(功能_33[[#This Row],[功能代號]],E:Q,11,FALSE)),"")</f>
        <v>邱怡婷</v>
      </c>
      <c r="AH422" s="226"/>
      <c r="AI422" s="226"/>
      <c r="AJ422" s="307"/>
      <c r="AN422" s="307" t="e">
        <f>VLOOKUP(功能_33[[#This Row],[功能代號]],工作表2!B:B,1,FALSE)</f>
        <v>#N/A</v>
      </c>
    </row>
    <row r="423" spans="1:40" ht="14.25" hidden="1" customHeight="1">
      <c r="A423" s="224"/>
      <c r="B4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07" t="s">
        <v>107</v>
      </c>
      <c r="D423" s="295" t="s">
        <v>1152</v>
      </c>
      <c r="E423" s="308" t="s">
        <v>1203</v>
      </c>
      <c r="F423" s="307" t="s">
        <v>1204</v>
      </c>
      <c r="G423" s="307" t="s">
        <v>1151</v>
      </c>
      <c r="H423" s="308" t="s">
        <v>147</v>
      </c>
      <c r="I423" s="308" t="s">
        <v>148</v>
      </c>
      <c r="J423" s="287"/>
      <c r="K423" s="226">
        <v>44518</v>
      </c>
      <c r="L423" s="226">
        <v>44517</v>
      </c>
      <c r="M423" s="226" t="str">
        <f>IFERROR(IF(VLOOKUP(功能_33[[#This Row],[功能代號]],討論項目!A:H,8,FALSE)=0,"",VLOOKUP(功能_33[[#This Row],[功能代號]],討論項目!A:H,8,FALSE)),"")</f>
        <v/>
      </c>
      <c r="N423" s="308" t="s">
        <v>7</v>
      </c>
      <c r="O423" s="308" t="s">
        <v>25</v>
      </c>
      <c r="T423" s="308"/>
      <c r="V423" s="308"/>
      <c r="W423" s="308"/>
      <c r="X423" s="307" t="str">
        <f>VLOOKUP(功能_33[[#This Row],[User]],SKL放款!A:G,7,FALSE)</f>
        <v>放款管理課</v>
      </c>
      <c r="Y423" s="228">
        <f>IF(功能_33[[#This Row],[實際展示]]="","",功能_33[[#This Row],[實際展示]]+14)</f>
        <v>44531</v>
      </c>
      <c r="Z423" s="226" t="s">
        <v>2809</v>
      </c>
      <c r="AA423" s="226"/>
      <c r="AB423" s="226"/>
      <c r="AC423" s="226"/>
      <c r="AD423" s="226"/>
      <c r="AE423" s="226"/>
      <c r="AF423" s="355"/>
      <c r="AG423" s="226" t="str">
        <f>IFERROR(IF(VLOOKUP(功能_33[[#This Row],[功能代號]],E:Q,11,FALSE)=0,"",VLOOKUP(功能_33[[#This Row],[功能代號]],E:Q,11,FALSE)),"")</f>
        <v>邱怡婷</v>
      </c>
      <c r="AH423" s="226"/>
      <c r="AI423" s="226"/>
      <c r="AJ423" s="307"/>
      <c r="AN423" s="307" t="e">
        <f>VLOOKUP(功能_33[[#This Row],[功能代號]],工作表2!B:B,1,FALSE)</f>
        <v>#N/A</v>
      </c>
    </row>
    <row r="424" spans="1:40" ht="14.25" hidden="1" customHeight="1">
      <c r="A424" s="224"/>
      <c r="B42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07" t="s">
        <v>107</v>
      </c>
      <c r="D424" s="295" t="s">
        <v>1152</v>
      </c>
      <c r="E424" s="308" t="s">
        <v>1205</v>
      </c>
      <c r="F424" s="307" t="s">
        <v>1206</v>
      </c>
      <c r="G424" s="307" t="s">
        <v>1151</v>
      </c>
      <c r="H424" s="308" t="s">
        <v>147</v>
      </c>
      <c r="I424" s="308" t="s">
        <v>148</v>
      </c>
      <c r="J424" s="287"/>
      <c r="K424" s="226">
        <v>44518</v>
      </c>
      <c r="L424" s="226">
        <v>44517</v>
      </c>
      <c r="M424" s="226" t="str">
        <f>IFERROR(IF(VLOOKUP(功能_33[[#This Row],[功能代號]],討論項目!A:H,8,FALSE)=0,"",VLOOKUP(功能_33[[#This Row],[功能代號]],討論項目!A:H,8,FALSE)),"")</f>
        <v/>
      </c>
      <c r="N424" s="308" t="s">
        <v>7</v>
      </c>
      <c r="O424" s="308" t="s">
        <v>25</v>
      </c>
      <c r="T424" s="308"/>
      <c r="V424" s="308"/>
      <c r="W424" s="308"/>
      <c r="X424" s="307" t="str">
        <f>VLOOKUP(功能_33[[#This Row],[User]],SKL放款!A:G,7,FALSE)</f>
        <v>放款管理課</v>
      </c>
      <c r="Y424" s="228">
        <f>IF(功能_33[[#This Row],[實際展示]]="","",功能_33[[#This Row],[實際展示]]+14)</f>
        <v>44531</v>
      </c>
      <c r="Z424" s="226" t="s">
        <v>2809</v>
      </c>
      <c r="AA424" s="226"/>
      <c r="AB424" s="226"/>
      <c r="AC424" s="226"/>
      <c r="AD424" s="226"/>
      <c r="AE424" s="226"/>
      <c r="AF424" s="355"/>
      <c r="AG424" s="226" t="str">
        <f>IFERROR(IF(VLOOKUP(功能_33[[#This Row],[功能代號]],E:Q,11,FALSE)=0,"",VLOOKUP(功能_33[[#This Row],[功能代號]],E:Q,11,FALSE)),"")</f>
        <v>邱怡婷</v>
      </c>
      <c r="AH424" s="226"/>
      <c r="AI424" s="226"/>
      <c r="AJ424" s="307"/>
      <c r="AN424" s="307" t="e">
        <f>VLOOKUP(功能_33[[#This Row],[功能代號]],工作表2!B:B,1,FALSE)</f>
        <v>#N/A</v>
      </c>
    </row>
    <row r="425" spans="1:40" ht="14.25" hidden="1" customHeight="1">
      <c r="A425" s="224"/>
      <c r="B42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07" t="s">
        <v>107</v>
      </c>
      <c r="D425" s="295" t="s">
        <v>1152</v>
      </c>
      <c r="E425" s="308" t="s">
        <v>1207</v>
      </c>
      <c r="F425" s="307" t="s">
        <v>1208</v>
      </c>
      <c r="G425" s="307" t="s">
        <v>1151</v>
      </c>
      <c r="H425" s="308" t="s">
        <v>147</v>
      </c>
      <c r="I425" s="308" t="s">
        <v>148</v>
      </c>
      <c r="J425" s="287"/>
      <c r="K425" s="226">
        <v>44518</v>
      </c>
      <c r="L425" s="226">
        <v>44517</v>
      </c>
      <c r="M425" s="226" t="str">
        <f>IFERROR(IF(VLOOKUP(功能_33[[#This Row],[功能代號]],討論項目!A:H,8,FALSE)=0,"",VLOOKUP(功能_33[[#This Row],[功能代號]],討論項目!A:H,8,FALSE)),"")</f>
        <v/>
      </c>
      <c r="N425" s="308" t="s">
        <v>7</v>
      </c>
      <c r="O425" s="308" t="s">
        <v>25</v>
      </c>
      <c r="T425" s="308"/>
      <c r="V425" s="308"/>
      <c r="W425" s="308"/>
      <c r="X425" s="307" t="str">
        <f>VLOOKUP(功能_33[[#This Row],[User]],SKL放款!A:G,7,FALSE)</f>
        <v>放款管理課</v>
      </c>
      <c r="Y425" s="228">
        <f>IF(功能_33[[#This Row],[實際展示]]="","",功能_33[[#This Row],[實際展示]]+14)</f>
        <v>44531</v>
      </c>
      <c r="Z425" s="226" t="s">
        <v>2809</v>
      </c>
      <c r="AA425" s="226"/>
      <c r="AB425" s="226"/>
      <c r="AC425" s="226"/>
      <c r="AD425" s="226"/>
      <c r="AE425" s="226"/>
      <c r="AF425" s="355"/>
      <c r="AG425" s="226" t="str">
        <f>IFERROR(IF(VLOOKUP(功能_33[[#This Row],[功能代號]],E:Q,11,FALSE)=0,"",VLOOKUP(功能_33[[#This Row],[功能代號]],E:Q,11,FALSE)),"")</f>
        <v>邱怡婷</v>
      </c>
      <c r="AH425" s="226"/>
      <c r="AI425" s="226"/>
      <c r="AJ425" s="307"/>
      <c r="AN425" s="307" t="e">
        <f>VLOOKUP(功能_33[[#This Row],[功能代號]],工作表2!B:B,1,FALSE)</f>
        <v>#N/A</v>
      </c>
    </row>
    <row r="426" spans="1:40" ht="14.25" hidden="1" customHeight="1">
      <c r="A426" s="224"/>
      <c r="B4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07" t="s">
        <v>107</v>
      </c>
      <c r="D426" s="295" t="s">
        <v>1152</v>
      </c>
      <c r="E426" s="308" t="s">
        <v>1209</v>
      </c>
      <c r="F426" s="307" t="s">
        <v>1210</v>
      </c>
      <c r="G426" s="307" t="s">
        <v>1151</v>
      </c>
      <c r="H426" s="308" t="s">
        <v>147</v>
      </c>
      <c r="I426" s="308" t="s">
        <v>148</v>
      </c>
      <c r="J426" s="287"/>
      <c r="K426" s="226">
        <v>44518</v>
      </c>
      <c r="L426" s="226">
        <v>44517</v>
      </c>
      <c r="M426" s="226" t="str">
        <f>IFERROR(IF(VLOOKUP(功能_33[[#This Row],[功能代號]],討論項目!A:H,8,FALSE)=0,"",VLOOKUP(功能_33[[#This Row],[功能代號]],討論項目!A:H,8,FALSE)),"")</f>
        <v/>
      </c>
      <c r="N426" s="308" t="s">
        <v>7</v>
      </c>
      <c r="O426" s="308" t="s">
        <v>25</v>
      </c>
      <c r="T426" s="308"/>
      <c r="V426" s="308"/>
      <c r="W426" s="308"/>
      <c r="X426" s="307" t="str">
        <f>VLOOKUP(功能_33[[#This Row],[User]],SKL放款!A:G,7,FALSE)</f>
        <v>放款管理課</v>
      </c>
      <c r="Y426" s="228">
        <f>IF(功能_33[[#This Row],[實際展示]]="","",功能_33[[#This Row],[實際展示]]+14)</f>
        <v>44531</v>
      </c>
      <c r="Z426" s="226" t="s">
        <v>2809</v>
      </c>
      <c r="AA426" s="226"/>
      <c r="AB426" s="226"/>
      <c r="AC426" s="226"/>
      <c r="AD426" s="226"/>
      <c r="AE426" s="226"/>
      <c r="AF426" s="355"/>
      <c r="AG426" s="226" t="str">
        <f>IFERROR(IF(VLOOKUP(功能_33[[#This Row],[功能代號]],E:Q,11,FALSE)=0,"",VLOOKUP(功能_33[[#This Row],[功能代號]],E:Q,11,FALSE)),"")</f>
        <v>邱怡婷</v>
      </c>
      <c r="AH426" s="226"/>
      <c r="AI426" s="226"/>
      <c r="AJ426" s="307"/>
      <c r="AN426" s="307" t="e">
        <f>VLOOKUP(功能_33[[#This Row],[功能代號]],工作表2!B:B,1,FALSE)</f>
        <v>#N/A</v>
      </c>
    </row>
    <row r="427" spans="1:40" ht="14.25" hidden="1" customHeight="1">
      <c r="A427" s="224"/>
      <c r="B4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07" t="s">
        <v>107</v>
      </c>
      <c r="D427" s="295" t="s">
        <v>1152</v>
      </c>
      <c r="E427" s="308" t="s">
        <v>1211</v>
      </c>
      <c r="F427" s="307" t="s">
        <v>1212</v>
      </c>
      <c r="G427" s="307" t="s">
        <v>1151</v>
      </c>
      <c r="H427" s="308" t="s">
        <v>147</v>
      </c>
      <c r="I427" s="308" t="s">
        <v>148</v>
      </c>
      <c r="J427" s="287"/>
      <c r="K427" s="226">
        <v>44518</v>
      </c>
      <c r="L427" s="226">
        <v>44517</v>
      </c>
      <c r="M427" s="226" t="str">
        <f>IFERROR(IF(VLOOKUP(功能_33[[#This Row],[功能代號]],討論項目!A:H,8,FALSE)=0,"",VLOOKUP(功能_33[[#This Row],[功能代號]],討論項目!A:H,8,FALSE)),"")</f>
        <v/>
      </c>
      <c r="N427" s="308" t="s">
        <v>7</v>
      </c>
      <c r="O427" s="308" t="s">
        <v>25</v>
      </c>
      <c r="T427" s="308"/>
      <c r="V427" s="308"/>
      <c r="W427" s="308"/>
      <c r="X427" s="307" t="str">
        <f>VLOOKUP(功能_33[[#This Row],[User]],SKL放款!A:G,7,FALSE)</f>
        <v>放款管理課</v>
      </c>
      <c r="Y427" s="228">
        <f>IF(功能_33[[#This Row],[實際展示]]="","",功能_33[[#This Row],[實際展示]]+14)</f>
        <v>44531</v>
      </c>
      <c r="Z427" s="226" t="s">
        <v>2809</v>
      </c>
      <c r="AA427" s="226"/>
      <c r="AB427" s="226"/>
      <c r="AC427" s="226"/>
      <c r="AD427" s="226"/>
      <c r="AE427" s="226"/>
      <c r="AF427" s="355"/>
      <c r="AG427" s="226" t="str">
        <f>IFERROR(IF(VLOOKUP(功能_33[[#This Row],[功能代號]],E:Q,11,FALSE)=0,"",VLOOKUP(功能_33[[#This Row],[功能代號]],E:Q,11,FALSE)),"")</f>
        <v>邱怡婷</v>
      </c>
      <c r="AH427" s="226"/>
      <c r="AI427" s="226"/>
      <c r="AJ427" s="307"/>
      <c r="AN427" s="307" t="e">
        <f>VLOOKUP(功能_33[[#This Row],[功能代號]],工作表2!B:B,1,FALSE)</f>
        <v>#N/A</v>
      </c>
    </row>
    <row r="428" spans="1:40" ht="14.25" hidden="1" customHeight="1">
      <c r="A428" s="224"/>
      <c r="B42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07" t="s">
        <v>107</v>
      </c>
      <c r="D428" s="295" t="s">
        <v>1152</v>
      </c>
      <c r="E428" s="308" t="s">
        <v>1213</v>
      </c>
      <c r="F428" s="307" t="s">
        <v>1214</v>
      </c>
      <c r="G428" s="307" t="s">
        <v>1151</v>
      </c>
      <c r="H428" s="308" t="s">
        <v>147</v>
      </c>
      <c r="I428" s="308" t="s">
        <v>148</v>
      </c>
      <c r="J428" s="287"/>
      <c r="K428" s="226">
        <v>44518</v>
      </c>
      <c r="L428" s="226">
        <v>44517</v>
      </c>
      <c r="M428" s="226" t="str">
        <f>IFERROR(IF(VLOOKUP(功能_33[[#This Row],[功能代號]],討論項目!A:H,8,FALSE)=0,"",VLOOKUP(功能_33[[#This Row],[功能代號]],討論項目!A:H,8,FALSE)),"")</f>
        <v/>
      </c>
      <c r="N428" s="308" t="s">
        <v>7</v>
      </c>
      <c r="O428" s="308" t="s">
        <v>25</v>
      </c>
      <c r="T428" s="308"/>
      <c r="V428" s="308"/>
      <c r="W428" s="308"/>
      <c r="X428" s="307" t="str">
        <f>VLOOKUP(功能_33[[#This Row],[User]],SKL放款!A:G,7,FALSE)</f>
        <v>放款管理課</v>
      </c>
      <c r="Y428" s="228">
        <f>IF(功能_33[[#This Row],[實際展示]]="","",功能_33[[#This Row],[實際展示]]+14)</f>
        <v>44531</v>
      </c>
      <c r="Z428" s="226" t="s">
        <v>2809</v>
      </c>
      <c r="AA428" s="226"/>
      <c r="AB428" s="226"/>
      <c r="AC428" s="226"/>
      <c r="AD428" s="226"/>
      <c r="AE428" s="226"/>
      <c r="AF428" s="355"/>
      <c r="AG428" s="226" t="str">
        <f>IFERROR(IF(VLOOKUP(功能_33[[#This Row],[功能代號]],E:Q,11,FALSE)=0,"",VLOOKUP(功能_33[[#This Row],[功能代號]],E:Q,11,FALSE)),"")</f>
        <v>邱怡婷</v>
      </c>
      <c r="AH428" s="226"/>
      <c r="AI428" s="226"/>
      <c r="AJ428" s="307"/>
      <c r="AN428" s="307" t="e">
        <f>VLOOKUP(功能_33[[#This Row],[功能代號]],工作表2!B:B,1,FALSE)</f>
        <v>#N/A</v>
      </c>
    </row>
    <row r="429" spans="1:40" ht="14.25" hidden="1" customHeight="1">
      <c r="A429" s="224"/>
      <c r="B4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07" t="s">
        <v>107</v>
      </c>
      <c r="D429" s="295" t="s">
        <v>1152</v>
      </c>
      <c r="E429" s="308" t="s">
        <v>1215</v>
      </c>
      <c r="F429" s="307" t="s">
        <v>1216</v>
      </c>
      <c r="G429" s="307" t="s">
        <v>1151</v>
      </c>
      <c r="H429" s="308" t="s">
        <v>147</v>
      </c>
      <c r="I429" s="308" t="s">
        <v>148</v>
      </c>
      <c r="J429" s="287"/>
      <c r="K429" s="226">
        <v>44519</v>
      </c>
      <c r="L429" s="226">
        <v>44517</v>
      </c>
      <c r="M429" s="226" t="str">
        <f>IFERROR(IF(VLOOKUP(功能_33[[#This Row],[功能代號]],討論項目!A:H,8,FALSE)=0,"",VLOOKUP(功能_33[[#This Row],[功能代號]],討論項目!A:H,8,FALSE)),"")</f>
        <v/>
      </c>
      <c r="N429" s="308" t="s">
        <v>7</v>
      </c>
      <c r="O429" s="308" t="s">
        <v>25</v>
      </c>
      <c r="T429" s="308"/>
      <c r="V429" s="308"/>
      <c r="W429" s="308"/>
      <c r="X429" s="307" t="str">
        <f>VLOOKUP(功能_33[[#This Row],[User]],SKL放款!A:G,7,FALSE)</f>
        <v>放款管理課</v>
      </c>
      <c r="Y429" s="228">
        <f>IF(功能_33[[#This Row],[實際展示]]="","",功能_33[[#This Row],[實際展示]]+14)</f>
        <v>44531</v>
      </c>
      <c r="Z429" s="226" t="s">
        <v>2808</v>
      </c>
      <c r="AA429" s="226"/>
      <c r="AB429" s="226"/>
      <c r="AC429" s="226"/>
      <c r="AD429" s="226"/>
      <c r="AE429" s="226"/>
      <c r="AF429" s="355"/>
      <c r="AG429" s="226" t="str">
        <f>IFERROR(IF(VLOOKUP(功能_33[[#This Row],[功能代號]],E:Q,11,FALSE)=0,"",VLOOKUP(功能_33[[#This Row],[功能代號]],E:Q,11,FALSE)),"")</f>
        <v>邱怡婷</v>
      </c>
      <c r="AH429" s="226"/>
      <c r="AI429" s="226"/>
      <c r="AJ429" s="307"/>
      <c r="AN429" s="307" t="str">
        <f>VLOOKUP(功能_33[[#This Row],[功能代號]],工作表2!B:B,1,FALSE)</f>
        <v>L8062</v>
      </c>
    </row>
    <row r="430" spans="1:40" ht="14.25" hidden="1" customHeight="1">
      <c r="A430" s="224"/>
      <c r="B43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07" t="s">
        <v>107</v>
      </c>
      <c r="D430" s="295" t="s">
        <v>1152</v>
      </c>
      <c r="E430" s="308" t="s">
        <v>1217</v>
      </c>
      <c r="F430" s="307" t="s">
        <v>1218</v>
      </c>
      <c r="G430" s="307" t="s">
        <v>1151</v>
      </c>
      <c r="H430" s="308" t="s">
        <v>147</v>
      </c>
      <c r="I430" s="308" t="s">
        <v>148</v>
      </c>
      <c r="J430" s="287"/>
      <c r="K430" s="226">
        <v>44519</v>
      </c>
      <c r="L430" s="226">
        <v>44517</v>
      </c>
      <c r="M430" s="226" t="str">
        <f>IFERROR(IF(VLOOKUP(功能_33[[#This Row],[功能代號]],討論項目!A:H,8,FALSE)=0,"",VLOOKUP(功能_33[[#This Row],[功能代號]],討論項目!A:H,8,FALSE)),"")</f>
        <v/>
      </c>
      <c r="N430" s="308" t="s">
        <v>7</v>
      </c>
      <c r="O430" s="308" t="s">
        <v>25</v>
      </c>
      <c r="T430" s="308"/>
      <c r="V430" s="308"/>
      <c r="W430" s="308"/>
      <c r="X430" s="307" t="str">
        <f>VLOOKUP(功能_33[[#This Row],[User]],SKL放款!A:G,7,FALSE)</f>
        <v>放款管理課</v>
      </c>
      <c r="Y430" s="228">
        <f>IF(功能_33[[#This Row],[實際展示]]="","",功能_33[[#This Row],[實際展示]]+14)</f>
        <v>44531</v>
      </c>
      <c r="Z430" s="226" t="s">
        <v>2809</v>
      </c>
      <c r="AA430" s="226"/>
      <c r="AB430" s="226"/>
      <c r="AC430" s="226"/>
      <c r="AD430" s="226"/>
      <c r="AE430" s="226"/>
      <c r="AF430" s="355"/>
      <c r="AG430" s="226" t="str">
        <f>IFERROR(IF(VLOOKUP(功能_33[[#This Row],[功能代號]],E:Q,11,FALSE)=0,"",VLOOKUP(功能_33[[#This Row],[功能代號]],E:Q,11,FALSE)),"")</f>
        <v>邱怡婷</v>
      </c>
      <c r="AH430" s="226"/>
      <c r="AI430" s="226"/>
      <c r="AJ430" s="307"/>
      <c r="AN430" s="307" t="e">
        <f>VLOOKUP(功能_33[[#This Row],[功能代號]],工作表2!B:B,1,FALSE)</f>
        <v>#N/A</v>
      </c>
    </row>
    <row r="431" spans="1:40" ht="14.25" hidden="1" customHeight="1">
      <c r="A431" s="224"/>
      <c r="B43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07" t="s">
        <v>107</v>
      </c>
      <c r="D431" s="295" t="s">
        <v>1152</v>
      </c>
      <c r="E431" s="308" t="s">
        <v>1219</v>
      </c>
      <c r="F431" s="307" t="s">
        <v>1220</v>
      </c>
      <c r="G431" s="307" t="s">
        <v>1151</v>
      </c>
      <c r="H431" s="308" t="s">
        <v>147</v>
      </c>
      <c r="I431" s="308" t="s">
        <v>148</v>
      </c>
      <c r="J431" s="287"/>
      <c r="K431" s="226">
        <v>44519</v>
      </c>
      <c r="L431" s="226">
        <v>44517</v>
      </c>
      <c r="M431" s="226" t="str">
        <f>IFERROR(IF(VLOOKUP(功能_33[[#This Row],[功能代號]],討論項目!A:H,8,FALSE)=0,"",VLOOKUP(功能_33[[#This Row],[功能代號]],討論項目!A:H,8,FALSE)),"")</f>
        <v/>
      </c>
      <c r="N431" s="308" t="s">
        <v>7</v>
      </c>
      <c r="O431" s="308" t="s">
        <v>25</v>
      </c>
      <c r="T431" s="308"/>
      <c r="V431" s="308"/>
      <c r="W431" s="308"/>
      <c r="X431" s="307" t="str">
        <f>VLOOKUP(功能_33[[#This Row],[User]],SKL放款!A:G,7,FALSE)</f>
        <v>放款管理課</v>
      </c>
      <c r="Y431" s="228">
        <f>IF(功能_33[[#This Row],[實際展示]]="","",功能_33[[#This Row],[實際展示]]+14)</f>
        <v>44531</v>
      </c>
      <c r="Z431" s="226" t="s">
        <v>2809</v>
      </c>
      <c r="AA431" s="226"/>
      <c r="AB431" s="226"/>
      <c r="AC431" s="226"/>
      <c r="AD431" s="226"/>
      <c r="AE431" s="226"/>
      <c r="AF431" s="355"/>
      <c r="AG431" s="226" t="str">
        <f>IFERROR(IF(VLOOKUP(功能_33[[#This Row],[功能代號]],E:Q,11,FALSE)=0,"",VLOOKUP(功能_33[[#This Row],[功能代號]],E:Q,11,FALSE)),"")</f>
        <v>邱怡婷</v>
      </c>
      <c r="AH431" s="226"/>
      <c r="AI431" s="226"/>
      <c r="AJ431" s="307"/>
      <c r="AN431" s="307" t="e">
        <f>VLOOKUP(功能_33[[#This Row],[功能代號]],工作表2!B:B,1,FALSE)</f>
        <v>#N/A</v>
      </c>
    </row>
    <row r="432" spans="1:40" ht="14.25" hidden="1" customHeight="1">
      <c r="A432" s="224"/>
      <c r="B4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07" t="s">
        <v>107</v>
      </c>
      <c r="D432" s="295" t="s">
        <v>1152</v>
      </c>
      <c r="E432" s="308" t="s">
        <v>1221</v>
      </c>
      <c r="F432" s="307" t="s">
        <v>1222</v>
      </c>
      <c r="G432" s="307" t="s">
        <v>1151</v>
      </c>
      <c r="H432" s="308" t="s">
        <v>147</v>
      </c>
      <c r="I432" s="308" t="s">
        <v>148</v>
      </c>
      <c r="J432" s="287"/>
      <c r="K432" s="226">
        <v>44519</v>
      </c>
      <c r="L432" s="226">
        <v>44517</v>
      </c>
      <c r="M432" s="226" t="str">
        <f>IFERROR(IF(VLOOKUP(功能_33[[#This Row],[功能代號]],討論項目!A:H,8,FALSE)=0,"",VLOOKUP(功能_33[[#This Row],[功能代號]],討論項目!A:H,8,FALSE)),"")</f>
        <v/>
      </c>
      <c r="N432" s="308" t="s">
        <v>7</v>
      </c>
      <c r="O432" s="308" t="s">
        <v>25</v>
      </c>
      <c r="T432" s="308"/>
      <c r="V432" s="308"/>
      <c r="W432" s="308"/>
      <c r="X432" s="307" t="str">
        <f>VLOOKUP(功能_33[[#This Row],[User]],SKL放款!A:G,7,FALSE)</f>
        <v>放款管理課</v>
      </c>
      <c r="Y432" s="228">
        <f>IF(功能_33[[#This Row],[實際展示]]="","",功能_33[[#This Row],[實際展示]]+14)</f>
        <v>44531</v>
      </c>
      <c r="Z432" s="226" t="s">
        <v>2809</v>
      </c>
      <c r="AA432" s="226"/>
      <c r="AB432" s="226"/>
      <c r="AC432" s="226"/>
      <c r="AD432" s="226"/>
      <c r="AE432" s="226"/>
      <c r="AF432" s="355"/>
      <c r="AG432" s="226" t="str">
        <f>IFERROR(IF(VLOOKUP(功能_33[[#This Row],[功能代號]],E:Q,11,FALSE)=0,"",VLOOKUP(功能_33[[#This Row],[功能代號]],E:Q,11,FALSE)),"")</f>
        <v>邱怡婷</v>
      </c>
      <c r="AH432" s="226"/>
      <c r="AI432" s="226"/>
      <c r="AJ432" s="307"/>
      <c r="AN432" s="307" t="e">
        <f>VLOOKUP(功能_33[[#This Row],[功能代號]],工作表2!B:B,1,FALSE)</f>
        <v>#N/A</v>
      </c>
    </row>
    <row r="433" spans="1:40" ht="14.25" hidden="1" customHeight="1">
      <c r="A433" s="224"/>
      <c r="B43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07" t="s">
        <v>107</v>
      </c>
      <c r="D433" s="295" t="s">
        <v>1152</v>
      </c>
      <c r="E433" s="308" t="s">
        <v>1223</v>
      </c>
      <c r="F433" s="307" t="s">
        <v>1224</v>
      </c>
      <c r="G433" s="307" t="s">
        <v>1151</v>
      </c>
      <c r="H433" s="308" t="s">
        <v>147</v>
      </c>
      <c r="I433" s="308" t="s">
        <v>148</v>
      </c>
      <c r="J433" s="287"/>
      <c r="K433" s="226">
        <v>44519</v>
      </c>
      <c r="L433" s="226">
        <v>44517</v>
      </c>
      <c r="M433" s="226" t="str">
        <f>IFERROR(IF(VLOOKUP(功能_33[[#This Row],[功能代號]],討論項目!A:H,8,FALSE)=0,"",VLOOKUP(功能_33[[#This Row],[功能代號]],討論項目!A:H,8,FALSE)),"")</f>
        <v/>
      </c>
      <c r="N433" s="308" t="s">
        <v>7</v>
      </c>
      <c r="O433" s="308" t="s">
        <v>25</v>
      </c>
      <c r="T433" s="308"/>
      <c r="V433" s="308"/>
      <c r="W433" s="308"/>
      <c r="X433" s="307" t="str">
        <f>VLOOKUP(功能_33[[#This Row],[User]],SKL放款!A:G,7,FALSE)</f>
        <v>放款管理課</v>
      </c>
      <c r="Y433" s="228">
        <f>IF(功能_33[[#This Row],[實際展示]]="","",功能_33[[#This Row],[實際展示]]+14)</f>
        <v>44531</v>
      </c>
      <c r="Z433" s="226" t="s">
        <v>2809</v>
      </c>
      <c r="AA433" s="226"/>
      <c r="AB433" s="226"/>
      <c r="AC433" s="226"/>
      <c r="AD433" s="226"/>
      <c r="AE433" s="226"/>
      <c r="AF433" s="355"/>
      <c r="AG433" s="226" t="str">
        <f>IFERROR(IF(VLOOKUP(功能_33[[#This Row],[功能代號]],E:Q,11,FALSE)=0,"",VLOOKUP(功能_33[[#This Row],[功能代號]],E:Q,11,FALSE)),"")</f>
        <v>邱怡婷</v>
      </c>
      <c r="AH433" s="226"/>
      <c r="AI433" s="226"/>
      <c r="AJ433" s="307"/>
      <c r="AN433" s="307" t="e">
        <f>VLOOKUP(功能_33[[#This Row],[功能代號]],工作表2!B:B,1,FALSE)</f>
        <v>#N/A</v>
      </c>
    </row>
    <row r="434" spans="1:40" ht="14.25" hidden="1" customHeight="1">
      <c r="A434" s="224"/>
      <c r="B434" s="307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4" s="307" t="s">
        <v>107</v>
      </c>
      <c r="D434" s="295" t="s">
        <v>1152</v>
      </c>
      <c r="E434" s="308" t="s">
        <v>1225</v>
      </c>
      <c r="F434" s="307" t="s">
        <v>1226</v>
      </c>
      <c r="G434" s="307" t="s">
        <v>1151</v>
      </c>
      <c r="H434" s="308" t="s">
        <v>147</v>
      </c>
      <c r="I434" s="308" t="s">
        <v>148</v>
      </c>
      <c r="J434" s="287"/>
      <c r="K434" s="226">
        <v>44519</v>
      </c>
      <c r="L434" s="226">
        <v>44517</v>
      </c>
      <c r="M434" s="226" t="str">
        <f>IFERROR(IF(VLOOKUP(功能_33[[#This Row],[功能代號]],討論項目!A:H,8,FALSE)=0,"",VLOOKUP(功能_33[[#This Row],[功能代號]],討論項目!A:H,8,FALSE)),"")</f>
        <v/>
      </c>
      <c r="N434" s="308" t="s">
        <v>7</v>
      </c>
      <c r="O434" s="308" t="s">
        <v>25</v>
      </c>
      <c r="T434" s="308"/>
      <c r="V434" s="308"/>
      <c r="W434" s="308"/>
      <c r="X434" s="307" t="str">
        <f>VLOOKUP(功能_33[[#This Row],[User]],SKL放款!A:G,7,FALSE)</f>
        <v>放款管理課</v>
      </c>
      <c r="Y434" s="228">
        <f>IF(功能_33[[#This Row],[實際展示]]="","",功能_33[[#This Row],[實際展示]]+14)</f>
        <v>44531</v>
      </c>
      <c r="Z434" s="226" t="s">
        <v>2809</v>
      </c>
      <c r="AA434" s="226"/>
      <c r="AB434" s="226"/>
      <c r="AC434" s="226"/>
      <c r="AD434" s="226"/>
      <c r="AE434" s="226"/>
      <c r="AF434" s="355"/>
      <c r="AG434" s="226" t="str">
        <f>IFERROR(IF(VLOOKUP(功能_33[[#This Row],[功能代號]],E:Q,11,FALSE)=0,"",VLOOKUP(功能_33[[#This Row],[功能代號]],E:Q,11,FALSE)),"")</f>
        <v>邱怡婷</v>
      </c>
      <c r="AH434" s="226"/>
      <c r="AI434" s="226"/>
      <c r="AJ434" s="307"/>
      <c r="AN434" s="307" t="e">
        <f>VLOOKUP(功能_33[[#This Row],[功能代號]],工作表2!B:B,1,FALSE)</f>
        <v>#N/A</v>
      </c>
    </row>
    <row r="435" spans="1:40" ht="14.25" hidden="1" customHeight="1">
      <c r="A435" s="224"/>
      <c r="B43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07" t="s">
        <v>107</v>
      </c>
      <c r="D435" s="295" t="s">
        <v>1152</v>
      </c>
      <c r="E435" s="308" t="s">
        <v>1227</v>
      </c>
      <c r="F435" s="307" t="s">
        <v>1228</v>
      </c>
      <c r="G435" s="307" t="s">
        <v>1151</v>
      </c>
      <c r="H435" s="308" t="s">
        <v>147</v>
      </c>
      <c r="I435" s="308" t="s">
        <v>148</v>
      </c>
      <c r="J435" s="287"/>
      <c r="K435" s="226">
        <v>44515</v>
      </c>
      <c r="L435" s="226">
        <v>44517</v>
      </c>
      <c r="M435" s="226" t="str">
        <f>IFERROR(IF(VLOOKUP(功能_33[[#This Row],[功能代號]],討論項目!A:H,8,FALSE)=0,"",VLOOKUP(功能_33[[#This Row],[功能代號]],討論項目!A:H,8,FALSE)),"")</f>
        <v/>
      </c>
      <c r="N435" s="308" t="s">
        <v>7</v>
      </c>
      <c r="O435" s="308" t="s">
        <v>25</v>
      </c>
      <c r="T435" s="308"/>
      <c r="V435" s="308"/>
      <c r="W435" s="308"/>
      <c r="X435" s="307" t="str">
        <f>VLOOKUP(功能_33[[#This Row],[User]],SKL放款!A:G,7,FALSE)</f>
        <v>放款管理課</v>
      </c>
      <c r="Y435" s="228">
        <f>IF(功能_33[[#This Row],[實際展示]]="","",功能_33[[#This Row],[實際展示]]+14)</f>
        <v>44531</v>
      </c>
      <c r="Z435" s="226" t="s">
        <v>2809</v>
      </c>
      <c r="AA435" s="226"/>
      <c r="AB435" s="226"/>
      <c r="AC435" s="226"/>
      <c r="AD435" s="226"/>
      <c r="AE435" s="226"/>
      <c r="AF435" s="355"/>
      <c r="AG435" s="226" t="str">
        <f>IFERROR(IF(VLOOKUP(功能_33[[#This Row],[功能代號]],E:Q,11,FALSE)=0,"",VLOOKUP(功能_33[[#This Row],[功能代號]],E:Q,11,FALSE)),"")</f>
        <v>邱怡婷</v>
      </c>
      <c r="AH435" s="226"/>
      <c r="AI435" s="226"/>
      <c r="AJ435" s="307"/>
      <c r="AN435" s="307" t="e">
        <f>VLOOKUP(功能_33[[#This Row],[功能代號]],工作表2!B:B,1,FALSE)</f>
        <v>#N/A</v>
      </c>
    </row>
    <row r="436" spans="1:40" ht="14.25" hidden="1" customHeight="1">
      <c r="A436" s="224"/>
      <c r="B4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07" t="s">
        <v>107</v>
      </c>
      <c r="D436" s="295" t="s">
        <v>1152</v>
      </c>
      <c r="E436" s="308" t="s">
        <v>1229</v>
      </c>
      <c r="F436" s="307" t="s">
        <v>1230</v>
      </c>
      <c r="G436" s="307" t="s">
        <v>1151</v>
      </c>
      <c r="H436" s="308" t="s">
        <v>147</v>
      </c>
      <c r="I436" s="308" t="s">
        <v>148</v>
      </c>
      <c r="J436" s="287"/>
      <c r="K436" s="226">
        <v>44515</v>
      </c>
      <c r="L436" s="226">
        <v>44517</v>
      </c>
      <c r="M436" s="226" t="str">
        <f>IFERROR(IF(VLOOKUP(功能_33[[#This Row],[功能代號]],討論項目!A:H,8,FALSE)=0,"",VLOOKUP(功能_33[[#This Row],[功能代號]],討論項目!A:H,8,FALSE)),"")</f>
        <v/>
      </c>
      <c r="N436" s="308" t="s">
        <v>7</v>
      </c>
      <c r="O436" s="308" t="s">
        <v>25</v>
      </c>
      <c r="T436" s="308"/>
      <c r="V436" s="308"/>
      <c r="W436" s="308"/>
      <c r="X436" s="307" t="str">
        <f>VLOOKUP(功能_33[[#This Row],[User]],SKL放款!A:G,7,FALSE)</f>
        <v>放款管理課</v>
      </c>
      <c r="Y436" s="228">
        <f>IF(功能_33[[#This Row],[實際展示]]="","",功能_33[[#This Row],[實際展示]]+14)</f>
        <v>44531</v>
      </c>
      <c r="Z436" s="226" t="s">
        <v>2809</v>
      </c>
      <c r="AA436" s="226"/>
      <c r="AB436" s="226"/>
      <c r="AC436" s="226"/>
      <c r="AD436" s="226"/>
      <c r="AE436" s="226"/>
      <c r="AF436" s="355"/>
      <c r="AG436" s="226" t="str">
        <f>IFERROR(IF(VLOOKUP(功能_33[[#This Row],[功能代號]],E:Q,11,FALSE)=0,"",VLOOKUP(功能_33[[#This Row],[功能代號]],E:Q,11,FALSE)),"")</f>
        <v>邱怡婷</v>
      </c>
      <c r="AH436" s="226"/>
      <c r="AI436" s="226"/>
      <c r="AJ436" s="307"/>
      <c r="AN436" s="307" t="e">
        <f>VLOOKUP(功能_33[[#This Row],[功能代號]],工作表2!B:B,1,FALSE)</f>
        <v>#N/A</v>
      </c>
    </row>
    <row r="437" spans="1:40" ht="14.25" hidden="1" customHeight="1">
      <c r="A437" s="224"/>
      <c r="B4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07" t="s">
        <v>107</v>
      </c>
      <c r="D437" s="295" t="s">
        <v>1152</v>
      </c>
      <c r="E437" s="308" t="s">
        <v>1231</v>
      </c>
      <c r="F437" s="307" t="s">
        <v>1232</v>
      </c>
      <c r="G437" s="307" t="s">
        <v>1151</v>
      </c>
      <c r="H437" s="308" t="s">
        <v>147</v>
      </c>
      <c r="I437" s="308" t="s">
        <v>148</v>
      </c>
      <c r="J437" s="287"/>
      <c r="K437" s="226">
        <v>44515</v>
      </c>
      <c r="L437" s="226">
        <v>44517</v>
      </c>
      <c r="M437" s="226" t="str">
        <f>IFERROR(IF(VLOOKUP(功能_33[[#This Row],[功能代號]],討論項目!A:H,8,FALSE)=0,"",VLOOKUP(功能_33[[#This Row],[功能代號]],討論項目!A:H,8,FALSE)),"")</f>
        <v/>
      </c>
      <c r="N437" s="308" t="s">
        <v>7</v>
      </c>
      <c r="O437" s="308" t="s">
        <v>25</v>
      </c>
      <c r="T437" s="308"/>
      <c r="V437" s="308"/>
      <c r="W437" s="308"/>
      <c r="X437" s="307" t="str">
        <f>VLOOKUP(功能_33[[#This Row],[User]],SKL放款!A:G,7,FALSE)</f>
        <v>放款管理課</v>
      </c>
      <c r="Y437" s="228">
        <f>IF(功能_33[[#This Row],[實際展示]]="","",功能_33[[#This Row],[實際展示]]+14)</f>
        <v>44531</v>
      </c>
      <c r="Z437" s="226" t="s">
        <v>2809</v>
      </c>
      <c r="AA437" s="226"/>
      <c r="AB437" s="226"/>
      <c r="AC437" s="226"/>
      <c r="AD437" s="226"/>
      <c r="AE437" s="226"/>
      <c r="AF437" s="355"/>
      <c r="AG437" s="226" t="str">
        <f>IFERROR(IF(VLOOKUP(功能_33[[#This Row],[功能代號]],E:Q,11,FALSE)=0,"",VLOOKUP(功能_33[[#This Row],[功能代號]],E:Q,11,FALSE)),"")</f>
        <v>邱怡婷</v>
      </c>
      <c r="AH437" s="226"/>
      <c r="AI437" s="226"/>
      <c r="AJ437" s="307"/>
      <c r="AN437" s="307" t="e">
        <f>VLOOKUP(功能_33[[#This Row],[功能代號]],工作表2!B:B,1,FALSE)</f>
        <v>#N/A</v>
      </c>
    </row>
    <row r="438" spans="1:40" ht="14.25" hidden="1" customHeight="1">
      <c r="A438" s="224"/>
      <c r="B43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07" t="s">
        <v>107</v>
      </c>
      <c r="D438" s="295" t="s">
        <v>1152</v>
      </c>
      <c r="E438" s="308" t="s">
        <v>1233</v>
      </c>
      <c r="F438" s="307" t="s">
        <v>1234</v>
      </c>
      <c r="G438" s="307" t="s">
        <v>1151</v>
      </c>
      <c r="H438" s="308" t="s">
        <v>147</v>
      </c>
      <c r="I438" s="308" t="s">
        <v>148</v>
      </c>
      <c r="J438" s="287"/>
      <c r="K438" s="226">
        <v>44515</v>
      </c>
      <c r="L438" s="226">
        <v>44517</v>
      </c>
      <c r="M438" s="226" t="str">
        <f>IFERROR(IF(VLOOKUP(功能_33[[#This Row],[功能代號]],討論項目!A:H,8,FALSE)=0,"",VLOOKUP(功能_33[[#This Row],[功能代號]],討論項目!A:H,8,FALSE)),"")</f>
        <v/>
      </c>
      <c r="N438" s="308" t="s">
        <v>7</v>
      </c>
      <c r="O438" s="308" t="s">
        <v>25</v>
      </c>
      <c r="T438" s="308"/>
      <c r="V438" s="308"/>
      <c r="W438" s="308"/>
      <c r="X438" s="307" t="str">
        <f>VLOOKUP(功能_33[[#This Row],[User]],SKL放款!A:G,7,FALSE)</f>
        <v>放款管理課</v>
      </c>
      <c r="Y438" s="228">
        <f>IF(功能_33[[#This Row],[實際展示]]="","",功能_33[[#This Row],[實際展示]]+14)</f>
        <v>44531</v>
      </c>
      <c r="Z438" s="226" t="s">
        <v>2809</v>
      </c>
      <c r="AA438" s="226"/>
      <c r="AB438" s="226"/>
      <c r="AC438" s="226"/>
      <c r="AD438" s="226"/>
      <c r="AE438" s="226"/>
      <c r="AF438" s="355"/>
      <c r="AG438" s="226" t="str">
        <f>IFERROR(IF(VLOOKUP(功能_33[[#This Row],[功能代號]],E:Q,11,FALSE)=0,"",VLOOKUP(功能_33[[#This Row],[功能代號]],E:Q,11,FALSE)),"")</f>
        <v>邱怡婷</v>
      </c>
      <c r="AH438" s="226"/>
      <c r="AI438" s="226"/>
      <c r="AJ438" s="307"/>
      <c r="AN438" s="307" t="e">
        <f>VLOOKUP(功能_33[[#This Row],[功能代號]],工作表2!B:B,1,FALSE)</f>
        <v>#N/A</v>
      </c>
    </row>
    <row r="439" spans="1:40" ht="14.25" hidden="1" customHeight="1">
      <c r="A439" s="224"/>
      <c r="B4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07" t="s">
        <v>107</v>
      </c>
      <c r="D439" s="295" t="s">
        <v>1152</v>
      </c>
      <c r="E439" s="308" t="s">
        <v>1235</v>
      </c>
      <c r="F439" s="307" t="s">
        <v>1236</v>
      </c>
      <c r="G439" s="307" t="s">
        <v>1151</v>
      </c>
      <c r="H439" s="308" t="s">
        <v>147</v>
      </c>
      <c r="I439" s="308" t="s">
        <v>148</v>
      </c>
      <c r="J439" s="287"/>
      <c r="K439" s="226">
        <v>44515</v>
      </c>
      <c r="L439" s="226">
        <v>44517</v>
      </c>
      <c r="M439" s="226" t="str">
        <f>IFERROR(IF(VLOOKUP(功能_33[[#This Row],[功能代號]],討論項目!A:H,8,FALSE)=0,"",VLOOKUP(功能_33[[#This Row],[功能代號]],討論項目!A:H,8,FALSE)),"")</f>
        <v/>
      </c>
      <c r="N439" s="308" t="s">
        <v>7</v>
      </c>
      <c r="O439" s="308" t="s">
        <v>25</v>
      </c>
      <c r="T439" s="308"/>
      <c r="V439" s="308"/>
      <c r="W439" s="308"/>
      <c r="X439" s="307" t="str">
        <f>VLOOKUP(功能_33[[#This Row],[User]],SKL放款!A:G,7,FALSE)</f>
        <v>放款管理課</v>
      </c>
      <c r="Y439" s="228">
        <f>IF(功能_33[[#This Row],[實際展示]]="","",功能_33[[#This Row],[實際展示]]+14)</f>
        <v>44531</v>
      </c>
      <c r="Z439" s="226" t="s">
        <v>2809</v>
      </c>
      <c r="AA439" s="226"/>
      <c r="AB439" s="226"/>
      <c r="AC439" s="226"/>
      <c r="AD439" s="226"/>
      <c r="AE439" s="226"/>
      <c r="AF439" s="355"/>
      <c r="AG439" s="226" t="str">
        <f>IFERROR(IF(VLOOKUP(功能_33[[#This Row],[功能代號]],E:Q,11,FALSE)=0,"",VLOOKUP(功能_33[[#This Row],[功能代號]],E:Q,11,FALSE)),"")</f>
        <v>邱怡婷</v>
      </c>
      <c r="AH439" s="226"/>
      <c r="AI439" s="226"/>
      <c r="AJ439" s="307"/>
      <c r="AN439" s="307" t="e">
        <f>VLOOKUP(功能_33[[#This Row],[功能代號]],工作表2!B:B,1,FALSE)</f>
        <v>#N/A</v>
      </c>
    </row>
    <row r="440" spans="1:40" ht="14.25" hidden="1" customHeight="1">
      <c r="A440" s="224"/>
      <c r="B4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07" t="s">
        <v>107</v>
      </c>
      <c r="D440" s="295" t="s">
        <v>1152</v>
      </c>
      <c r="E440" s="308" t="s">
        <v>1237</v>
      </c>
      <c r="F440" s="307" t="s">
        <v>1238</v>
      </c>
      <c r="G440" s="307" t="s">
        <v>1151</v>
      </c>
      <c r="H440" s="308" t="s">
        <v>147</v>
      </c>
      <c r="I440" s="308" t="s">
        <v>148</v>
      </c>
      <c r="J440" s="287"/>
      <c r="K440" s="226">
        <v>44515</v>
      </c>
      <c r="L440" s="226">
        <v>44517</v>
      </c>
      <c r="M440" s="226" t="str">
        <f>IFERROR(IF(VLOOKUP(功能_33[[#This Row],[功能代號]],討論項目!A:H,8,FALSE)=0,"",VLOOKUP(功能_33[[#This Row],[功能代號]],討論項目!A:H,8,FALSE)),"")</f>
        <v/>
      </c>
      <c r="N440" s="308" t="s">
        <v>7</v>
      </c>
      <c r="O440" s="308" t="s">
        <v>25</v>
      </c>
      <c r="T440" s="308"/>
      <c r="V440" s="308"/>
      <c r="W440" s="308"/>
      <c r="X440" s="307" t="str">
        <f>VLOOKUP(功能_33[[#This Row],[User]],SKL放款!A:G,7,FALSE)</f>
        <v>放款管理課</v>
      </c>
      <c r="Y440" s="228">
        <f>IF(功能_33[[#This Row],[實際展示]]="","",功能_33[[#This Row],[實際展示]]+14)</f>
        <v>44531</v>
      </c>
      <c r="Z440" s="226" t="s">
        <v>2809</v>
      </c>
      <c r="AA440" s="226"/>
      <c r="AB440" s="226"/>
      <c r="AC440" s="226"/>
      <c r="AD440" s="226"/>
      <c r="AE440" s="226"/>
      <c r="AF440" s="355"/>
      <c r="AG440" s="226" t="str">
        <f>IFERROR(IF(VLOOKUP(功能_33[[#This Row],[功能代號]],E:Q,11,FALSE)=0,"",VLOOKUP(功能_33[[#This Row],[功能代號]],E:Q,11,FALSE)),"")</f>
        <v>邱怡婷</v>
      </c>
      <c r="AH440" s="226"/>
      <c r="AI440" s="226"/>
      <c r="AJ440" s="307"/>
      <c r="AN440" s="307" t="e">
        <f>VLOOKUP(功能_33[[#This Row],[功能代號]],工作表2!B:B,1,FALSE)</f>
        <v>#N/A</v>
      </c>
    </row>
    <row r="441" spans="1:40" ht="14.25" hidden="1" customHeight="1">
      <c r="A441" s="224"/>
      <c r="B44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07" t="s">
        <v>107</v>
      </c>
      <c r="D441" s="295" t="s">
        <v>1152</v>
      </c>
      <c r="E441" s="308" t="s">
        <v>1239</v>
      </c>
      <c r="F441" s="307" t="s">
        <v>1240</v>
      </c>
      <c r="G441" s="307" t="s">
        <v>1151</v>
      </c>
      <c r="H441" s="308" t="s">
        <v>147</v>
      </c>
      <c r="I441" s="308" t="s">
        <v>148</v>
      </c>
      <c r="J441" s="287"/>
      <c r="K441" s="226">
        <v>44515</v>
      </c>
      <c r="L441" s="226">
        <v>44517</v>
      </c>
      <c r="M441" s="226" t="str">
        <f>IFERROR(IF(VLOOKUP(功能_33[[#This Row],[功能代號]],討論項目!A:H,8,FALSE)=0,"",VLOOKUP(功能_33[[#This Row],[功能代號]],討論項目!A:H,8,FALSE)),"")</f>
        <v/>
      </c>
      <c r="N441" s="308" t="s">
        <v>7</v>
      </c>
      <c r="O441" s="308" t="s">
        <v>25</v>
      </c>
      <c r="T441" s="308"/>
      <c r="V441" s="308"/>
      <c r="W441" s="308"/>
      <c r="X441" s="307" t="str">
        <f>VLOOKUP(功能_33[[#This Row],[User]],SKL放款!A:G,7,FALSE)</f>
        <v>放款管理課</v>
      </c>
      <c r="Y441" s="228">
        <f>IF(功能_33[[#This Row],[實際展示]]="","",功能_33[[#This Row],[實際展示]]+14)</f>
        <v>44531</v>
      </c>
      <c r="Z441" s="226" t="s">
        <v>2809</v>
      </c>
      <c r="AA441" s="226"/>
      <c r="AB441" s="226"/>
      <c r="AC441" s="226"/>
      <c r="AD441" s="226"/>
      <c r="AE441" s="226"/>
      <c r="AF441" s="355"/>
      <c r="AG441" s="226" t="str">
        <f>IFERROR(IF(VLOOKUP(功能_33[[#This Row],[功能代號]],E:Q,11,FALSE)=0,"",VLOOKUP(功能_33[[#This Row],[功能代號]],E:Q,11,FALSE)),"")</f>
        <v>邱怡婷</v>
      </c>
      <c r="AH441" s="226"/>
      <c r="AI441" s="226"/>
      <c r="AJ441" s="307"/>
      <c r="AN441" s="307" t="e">
        <f>VLOOKUP(功能_33[[#This Row],[功能代號]],工作表2!B:B,1,FALSE)</f>
        <v>#N/A</v>
      </c>
    </row>
    <row r="442" spans="1:40" ht="14.25" hidden="1" customHeight="1">
      <c r="A442" s="224"/>
      <c r="B4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07" t="s">
        <v>107</v>
      </c>
      <c r="D442" s="295" t="s">
        <v>1152</v>
      </c>
      <c r="E442" s="308" t="s">
        <v>1241</v>
      </c>
      <c r="F442" s="307" t="s">
        <v>1242</v>
      </c>
      <c r="G442" s="307" t="s">
        <v>1151</v>
      </c>
      <c r="H442" s="308" t="s">
        <v>147</v>
      </c>
      <c r="I442" s="308" t="s">
        <v>148</v>
      </c>
      <c r="J442" s="287"/>
      <c r="K442" s="226">
        <v>44515</v>
      </c>
      <c r="L442" s="226">
        <v>44517</v>
      </c>
      <c r="M442" s="226" t="str">
        <f>IFERROR(IF(VLOOKUP(功能_33[[#This Row],[功能代號]],討論項目!A:H,8,FALSE)=0,"",VLOOKUP(功能_33[[#This Row],[功能代號]],討論項目!A:H,8,FALSE)),"")</f>
        <v/>
      </c>
      <c r="N442" s="308" t="s">
        <v>7</v>
      </c>
      <c r="O442" s="308" t="s">
        <v>25</v>
      </c>
      <c r="T442" s="308"/>
      <c r="V442" s="308"/>
      <c r="W442" s="308"/>
      <c r="X442" s="307" t="str">
        <f>VLOOKUP(功能_33[[#This Row],[User]],SKL放款!A:G,7,FALSE)</f>
        <v>放款管理課</v>
      </c>
      <c r="Y442" s="228">
        <f>IF(功能_33[[#This Row],[實際展示]]="","",功能_33[[#This Row],[實際展示]]+14)</f>
        <v>44531</v>
      </c>
      <c r="Z442" s="226" t="s">
        <v>2809</v>
      </c>
      <c r="AA442" s="226"/>
      <c r="AB442" s="226"/>
      <c r="AC442" s="226"/>
      <c r="AD442" s="226"/>
      <c r="AE442" s="226"/>
      <c r="AF442" s="355"/>
      <c r="AG442" s="226" t="str">
        <f>IFERROR(IF(VLOOKUP(功能_33[[#This Row],[功能代號]],E:Q,11,FALSE)=0,"",VLOOKUP(功能_33[[#This Row],[功能代號]],E:Q,11,FALSE)),"")</f>
        <v>邱怡婷</v>
      </c>
      <c r="AH442" s="226"/>
      <c r="AI442" s="226"/>
      <c r="AJ442" s="307"/>
      <c r="AN442" s="307" t="e">
        <f>VLOOKUP(功能_33[[#This Row],[功能代號]],工作表2!B:B,1,FALSE)</f>
        <v>#N/A</v>
      </c>
    </row>
    <row r="443" spans="1:40" ht="14.25" hidden="1" customHeight="1">
      <c r="A443" s="224"/>
      <c r="B44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07" t="s">
        <v>107</v>
      </c>
      <c r="D443" s="295" t="s">
        <v>1152</v>
      </c>
      <c r="E443" s="308" t="s">
        <v>1243</v>
      </c>
      <c r="F443" s="307" t="s">
        <v>1244</v>
      </c>
      <c r="G443" s="307" t="s">
        <v>1151</v>
      </c>
      <c r="H443" s="308" t="s">
        <v>147</v>
      </c>
      <c r="I443" s="308" t="s">
        <v>148</v>
      </c>
      <c r="J443" s="287"/>
      <c r="K443" s="226">
        <v>44515</v>
      </c>
      <c r="L443" s="226">
        <v>44517</v>
      </c>
      <c r="M443" s="226" t="str">
        <f>IFERROR(IF(VLOOKUP(功能_33[[#This Row],[功能代號]],討論項目!A:H,8,FALSE)=0,"",VLOOKUP(功能_33[[#This Row],[功能代號]],討論項目!A:H,8,FALSE)),"")</f>
        <v/>
      </c>
      <c r="N443" s="308" t="s">
        <v>7</v>
      </c>
      <c r="O443" s="308" t="s">
        <v>25</v>
      </c>
      <c r="T443" s="308"/>
      <c r="V443" s="308"/>
      <c r="W443" s="308"/>
      <c r="X443" s="307" t="str">
        <f>VLOOKUP(功能_33[[#This Row],[User]],SKL放款!A:G,7,FALSE)</f>
        <v>放款管理課</v>
      </c>
      <c r="Y443" s="228">
        <f>IF(功能_33[[#This Row],[實際展示]]="","",功能_33[[#This Row],[實際展示]]+14)</f>
        <v>44531</v>
      </c>
      <c r="Z443" s="226" t="s">
        <v>2809</v>
      </c>
      <c r="AA443" s="226"/>
      <c r="AB443" s="226"/>
      <c r="AC443" s="226"/>
      <c r="AD443" s="226"/>
      <c r="AE443" s="226"/>
      <c r="AF443" s="355"/>
      <c r="AG443" s="226" t="str">
        <f>IFERROR(IF(VLOOKUP(功能_33[[#This Row],[功能代號]],E:Q,11,FALSE)=0,"",VLOOKUP(功能_33[[#This Row],[功能代號]],E:Q,11,FALSE)),"")</f>
        <v>邱怡婷</v>
      </c>
      <c r="AH443" s="226"/>
      <c r="AI443" s="226"/>
      <c r="AJ443" s="307"/>
      <c r="AN443" s="307" t="e">
        <f>VLOOKUP(功能_33[[#This Row],[功能代號]],工作表2!B:B,1,FALSE)</f>
        <v>#N/A</v>
      </c>
    </row>
    <row r="444" spans="1:40" ht="14.25" hidden="1" customHeight="1">
      <c r="A444" s="224"/>
      <c r="B4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07" t="s">
        <v>107</v>
      </c>
      <c r="D444" s="295" t="s">
        <v>1152</v>
      </c>
      <c r="E444" s="308" t="s">
        <v>1245</v>
      </c>
      <c r="F444" s="307" t="s">
        <v>1246</v>
      </c>
      <c r="G444" s="307" t="s">
        <v>1151</v>
      </c>
      <c r="H444" s="308" t="s">
        <v>147</v>
      </c>
      <c r="I444" s="308" t="s">
        <v>148</v>
      </c>
      <c r="J444" s="287"/>
      <c r="K444" s="226">
        <v>44515</v>
      </c>
      <c r="L444" s="226">
        <v>44517</v>
      </c>
      <c r="M444" s="226" t="str">
        <f>IFERROR(IF(VLOOKUP(功能_33[[#This Row],[功能代號]],討論項目!A:H,8,FALSE)=0,"",VLOOKUP(功能_33[[#This Row],[功能代號]],討論項目!A:H,8,FALSE)),"")</f>
        <v/>
      </c>
      <c r="N444" s="308" t="s">
        <v>7</v>
      </c>
      <c r="O444" s="308" t="s">
        <v>25</v>
      </c>
      <c r="T444" s="308"/>
      <c r="V444" s="308"/>
      <c r="W444" s="308"/>
      <c r="X444" s="307" t="str">
        <f>VLOOKUP(功能_33[[#This Row],[User]],SKL放款!A:G,7,FALSE)</f>
        <v>放款管理課</v>
      </c>
      <c r="Y444" s="228">
        <f>IF(功能_33[[#This Row],[實際展示]]="","",功能_33[[#This Row],[實際展示]]+14)</f>
        <v>44531</v>
      </c>
      <c r="Z444" s="226" t="s">
        <v>2809</v>
      </c>
      <c r="AA444" s="226"/>
      <c r="AB444" s="226"/>
      <c r="AC444" s="226"/>
      <c r="AD444" s="226"/>
      <c r="AE444" s="226"/>
      <c r="AF444" s="355"/>
      <c r="AG444" s="226" t="str">
        <f>IFERROR(IF(VLOOKUP(功能_33[[#This Row],[功能代號]],E:Q,11,FALSE)=0,"",VLOOKUP(功能_33[[#This Row],[功能代號]],E:Q,11,FALSE)),"")</f>
        <v>邱怡婷</v>
      </c>
      <c r="AH444" s="226"/>
      <c r="AI444" s="226"/>
      <c r="AJ444" s="307"/>
      <c r="AN444" s="307" t="e">
        <f>VLOOKUP(功能_33[[#This Row],[功能代號]],工作表2!B:B,1,FALSE)</f>
        <v>#N/A</v>
      </c>
    </row>
    <row r="445" spans="1:40" ht="14.25" hidden="1" customHeight="1">
      <c r="A445" s="224"/>
      <c r="B4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07" t="s">
        <v>107</v>
      </c>
      <c r="D445" s="295" t="s">
        <v>1152</v>
      </c>
      <c r="E445" s="308" t="s">
        <v>1247</v>
      </c>
      <c r="F445" s="307" t="s">
        <v>1248</v>
      </c>
      <c r="G445" s="307" t="s">
        <v>1151</v>
      </c>
      <c r="H445" s="308" t="s">
        <v>147</v>
      </c>
      <c r="I445" s="308" t="s">
        <v>148</v>
      </c>
      <c r="J445" s="287"/>
      <c r="K445" s="226">
        <v>44516</v>
      </c>
      <c r="L445" s="226">
        <v>44517</v>
      </c>
      <c r="M445" s="226" t="str">
        <f>IFERROR(IF(VLOOKUP(功能_33[[#This Row],[功能代號]],討論項目!A:H,8,FALSE)=0,"",VLOOKUP(功能_33[[#This Row],[功能代號]],討論項目!A:H,8,FALSE)),"")</f>
        <v/>
      </c>
      <c r="N445" s="308" t="s">
        <v>7</v>
      </c>
      <c r="O445" s="308" t="s">
        <v>25</v>
      </c>
      <c r="T445" s="308"/>
      <c r="V445" s="308"/>
      <c r="W445" s="308"/>
      <c r="X445" s="307" t="str">
        <f>VLOOKUP(功能_33[[#This Row],[User]],SKL放款!A:G,7,FALSE)</f>
        <v>放款管理課</v>
      </c>
      <c r="Y445" s="228">
        <f>IF(功能_33[[#This Row],[實際展示]]="","",功能_33[[#This Row],[實際展示]]+14)</f>
        <v>44531</v>
      </c>
      <c r="Z445" s="226" t="s">
        <v>2809</v>
      </c>
      <c r="AA445" s="226"/>
      <c r="AB445" s="226"/>
      <c r="AC445" s="226"/>
      <c r="AD445" s="226"/>
      <c r="AE445" s="226"/>
      <c r="AF445" s="355"/>
      <c r="AG445" s="226" t="str">
        <f>IFERROR(IF(VLOOKUP(功能_33[[#This Row],[功能代號]],E:Q,11,FALSE)=0,"",VLOOKUP(功能_33[[#This Row],[功能代號]],E:Q,11,FALSE)),"")</f>
        <v>邱怡婷</v>
      </c>
      <c r="AH445" s="226"/>
      <c r="AI445" s="226"/>
      <c r="AJ445" s="307"/>
      <c r="AN445" s="307" t="e">
        <f>VLOOKUP(功能_33[[#This Row],[功能代號]],工作表2!B:B,1,FALSE)</f>
        <v>#N/A</v>
      </c>
    </row>
    <row r="446" spans="1:40" ht="14.25" hidden="1" customHeight="1">
      <c r="A446" s="224"/>
      <c r="B4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07" t="s">
        <v>107</v>
      </c>
      <c r="D446" s="295" t="s">
        <v>1152</v>
      </c>
      <c r="E446" s="308" t="s">
        <v>1249</v>
      </c>
      <c r="F446" s="307" t="s">
        <v>1250</v>
      </c>
      <c r="G446" s="307" t="s">
        <v>1151</v>
      </c>
      <c r="H446" s="308" t="s">
        <v>147</v>
      </c>
      <c r="I446" s="308" t="s">
        <v>148</v>
      </c>
      <c r="J446" s="287"/>
      <c r="K446" s="226">
        <v>44516</v>
      </c>
      <c r="L446" s="226">
        <v>44517</v>
      </c>
      <c r="M446" s="226" t="str">
        <f>IFERROR(IF(VLOOKUP(功能_33[[#This Row],[功能代號]],討論項目!A:H,8,FALSE)=0,"",VLOOKUP(功能_33[[#This Row],[功能代號]],討論項目!A:H,8,FALSE)),"")</f>
        <v/>
      </c>
      <c r="N446" s="308" t="s">
        <v>7</v>
      </c>
      <c r="O446" s="308" t="s">
        <v>25</v>
      </c>
      <c r="T446" s="308"/>
      <c r="V446" s="308"/>
      <c r="W446" s="308"/>
      <c r="X446" s="307" t="str">
        <f>VLOOKUP(功能_33[[#This Row],[User]],SKL放款!A:G,7,FALSE)</f>
        <v>放款管理課</v>
      </c>
      <c r="Y446" s="228">
        <f>IF(功能_33[[#This Row],[實際展示]]="","",功能_33[[#This Row],[實際展示]]+14)</f>
        <v>44531</v>
      </c>
      <c r="Z446" s="226" t="s">
        <v>2809</v>
      </c>
      <c r="AA446" s="226"/>
      <c r="AB446" s="226"/>
      <c r="AC446" s="226"/>
      <c r="AD446" s="226"/>
      <c r="AE446" s="226"/>
      <c r="AF446" s="355"/>
      <c r="AG446" s="226" t="str">
        <f>IFERROR(IF(VLOOKUP(功能_33[[#This Row],[功能代號]],E:Q,11,FALSE)=0,"",VLOOKUP(功能_33[[#This Row],[功能代號]],E:Q,11,FALSE)),"")</f>
        <v>邱怡婷</v>
      </c>
      <c r="AH446" s="226"/>
      <c r="AI446" s="226"/>
      <c r="AJ446" s="307"/>
      <c r="AN446" s="307" t="e">
        <f>VLOOKUP(功能_33[[#This Row],[功能代號]],工作表2!B:B,1,FALSE)</f>
        <v>#N/A</v>
      </c>
    </row>
    <row r="447" spans="1:40" ht="14.25" hidden="1" customHeight="1">
      <c r="A447" s="224"/>
      <c r="B4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07" t="s">
        <v>107</v>
      </c>
      <c r="D447" s="295" t="s">
        <v>1152</v>
      </c>
      <c r="E447" s="308" t="s">
        <v>1251</v>
      </c>
      <c r="F447" s="307" t="s">
        <v>1252</v>
      </c>
      <c r="G447" s="307" t="s">
        <v>1151</v>
      </c>
      <c r="H447" s="308" t="s">
        <v>147</v>
      </c>
      <c r="I447" s="308" t="s">
        <v>148</v>
      </c>
      <c r="J447" s="287"/>
      <c r="K447" s="226">
        <v>44516</v>
      </c>
      <c r="L447" s="226">
        <v>44517</v>
      </c>
      <c r="M447" s="226" t="str">
        <f>IFERROR(IF(VLOOKUP(功能_33[[#This Row],[功能代號]],討論項目!A:H,8,FALSE)=0,"",VLOOKUP(功能_33[[#This Row],[功能代號]],討論項目!A:H,8,FALSE)),"")</f>
        <v/>
      </c>
      <c r="N447" s="308" t="s">
        <v>7</v>
      </c>
      <c r="O447" s="308" t="s">
        <v>25</v>
      </c>
      <c r="T447" s="308"/>
      <c r="V447" s="308"/>
      <c r="W447" s="308"/>
      <c r="X447" s="307" t="str">
        <f>VLOOKUP(功能_33[[#This Row],[User]],SKL放款!A:G,7,FALSE)</f>
        <v>放款管理課</v>
      </c>
      <c r="Y447" s="228">
        <f>IF(功能_33[[#This Row],[實際展示]]="","",功能_33[[#This Row],[實際展示]]+14)</f>
        <v>44531</v>
      </c>
      <c r="Z447" s="226" t="s">
        <v>2809</v>
      </c>
      <c r="AA447" s="226"/>
      <c r="AB447" s="226"/>
      <c r="AC447" s="226"/>
      <c r="AD447" s="226"/>
      <c r="AE447" s="226"/>
      <c r="AF447" s="355"/>
      <c r="AG447" s="226" t="str">
        <f>IFERROR(IF(VLOOKUP(功能_33[[#This Row],[功能代號]],E:Q,11,FALSE)=0,"",VLOOKUP(功能_33[[#This Row],[功能代號]],E:Q,11,FALSE)),"")</f>
        <v>邱怡婷</v>
      </c>
      <c r="AH447" s="226"/>
      <c r="AI447" s="226"/>
      <c r="AJ447" s="307"/>
      <c r="AN447" s="307" t="e">
        <f>VLOOKUP(功能_33[[#This Row],[功能代號]],工作表2!B:B,1,FALSE)</f>
        <v>#N/A</v>
      </c>
    </row>
    <row r="448" spans="1:40" ht="14.25" hidden="1" customHeight="1">
      <c r="A448" s="224"/>
      <c r="B4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07" t="s">
        <v>107</v>
      </c>
      <c r="D448" s="295" t="s">
        <v>1152</v>
      </c>
      <c r="E448" s="308" t="s">
        <v>1253</v>
      </c>
      <c r="F448" s="307" t="s">
        <v>1254</v>
      </c>
      <c r="G448" s="307" t="s">
        <v>1151</v>
      </c>
      <c r="H448" s="308" t="s">
        <v>147</v>
      </c>
      <c r="I448" s="308" t="s">
        <v>148</v>
      </c>
      <c r="J448" s="287"/>
      <c r="K448" s="226">
        <v>44516</v>
      </c>
      <c r="L448" s="226">
        <v>44517</v>
      </c>
      <c r="M448" s="226" t="str">
        <f>IFERROR(IF(VLOOKUP(功能_33[[#This Row],[功能代號]],討論項目!A:H,8,FALSE)=0,"",VLOOKUP(功能_33[[#This Row],[功能代號]],討論項目!A:H,8,FALSE)),"")</f>
        <v/>
      </c>
      <c r="N448" s="308" t="s">
        <v>7</v>
      </c>
      <c r="O448" s="308" t="s">
        <v>25</v>
      </c>
      <c r="T448" s="308"/>
      <c r="V448" s="308"/>
      <c r="W448" s="308"/>
      <c r="X448" s="307" t="str">
        <f>VLOOKUP(功能_33[[#This Row],[User]],SKL放款!A:G,7,FALSE)</f>
        <v>放款管理課</v>
      </c>
      <c r="Y448" s="228">
        <f>IF(功能_33[[#This Row],[實際展示]]="","",功能_33[[#This Row],[實際展示]]+14)</f>
        <v>44531</v>
      </c>
      <c r="Z448" s="226" t="s">
        <v>2809</v>
      </c>
      <c r="AA448" s="226"/>
      <c r="AB448" s="226"/>
      <c r="AC448" s="226"/>
      <c r="AD448" s="226"/>
      <c r="AE448" s="226"/>
      <c r="AF448" s="355"/>
      <c r="AG448" s="226" t="str">
        <f>IFERROR(IF(VLOOKUP(功能_33[[#This Row],[功能代號]],E:Q,11,FALSE)=0,"",VLOOKUP(功能_33[[#This Row],[功能代號]],E:Q,11,FALSE)),"")</f>
        <v>邱怡婷</v>
      </c>
      <c r="AH448" s="226"/>
      <c r="AI448" s="226"/>
      <c r="AJ448" s="307"/>
      <c r="AN448" s="307" t="e">
        <f>VLOOKUP(功能_33[[#This Row],[功能代號]],工作表2!B:B,1,FALSE)</f>
        <v>#N/A</v>
      </c>
    </row>
    <row r="449" spans="1:40" ht="14.25" hidden="1" customHeight="1">
      <c r="A449" s="224"/>
      <c r="B4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07" t="s">
        <v>107</v>
      </c>
      <c r="D449" s="295" t="s">
        <v>1152</v>
      </c>
      <c r="E449" s="308" t="s">
        <v>1255</v>
      </c>
      <c r="F449" s="307" t="s">
        <v>1256</v>
      </c>
      <c r="G449" s="307" t="s">
        <v>1151</v>
      </c>
      <c r="H449" s="308" t="s">
        <v>147</v>
      </c>
      <c r="I449" s="308" t="s">
        <v>148</v>
      </c>
      <c r="J449" s="287"/>
      <c r="K449" s="226">
        <v>44516</v>
      </c>
      <c r="L449" s="226">
        <v>44517</v>
      </c>
      <c r="M449" s="226" t="str">
        <f>IFERROR(IF(VLOOKUP(功能_33[[#This Row],[功能代號]],討論項目!A:H,8,FALSE)=0,"",VLOOKUP(功能_33[[#This Row],[功能代號]],討論項目!A:H,8,FALSE)),"")</f>
        <v/>
      </c>
      <c r="N449" s="308" t="s">
        <v>7</v>
      </c>
      <c r="O449" s="308" t="s">
        <v>25</v>
      </c>
      <c r="T449" s="308"/>
      <c r="V449" s="308"/>
      <c r="W449" s="308"/>
      <c r="X449" s="307" t="str">
        <f>VLOOKUP(功能_33[[#This Row],[User]],SKL放款!A:G,7,FALSE)</f>
        <v>放款管理課</v>
      </c>
      <c r="Y449" s="228">
        <f>IF(功能_33[[#This Row],[實際展示]]="","",功能_33[[#This Row],[實際展示]]+14)</f>
        <v>44531</v>
      </c>
      <c r="Z449" s="226" t="s">
        <v>2809</v>
      </c>
      <c r="AA449" s="226"/>
      <c r="AB449" s="226"/>
      <c r="AC449" s="226"/>
      <c r="AD449" s="226"/>
      <c r="AE449" s="226"/>
      <c r="AF449" s="355"/>
      <c r="AG449" s="226" t="str">
        <f>IFERROR(IF(VLOOKUP(功能_33[[#This Row],[功能代號]],E:Q,11,FALSE)=0,"",VLOOKUP(功能_33[[#This Row],[功能代號]],E:Q,11,FALSE)),"")</f>
        <v>邱怡婷</v>
      </c>
      <c r="AH449" s="226"/>
      <c r="AI449" s="226"/>
      <c r="AJ449" s="307"/>
      <c r="AN449" s="307" t="e">
        <f>VLOOKUP(功能_33[[#This Row],[功能代號]],工作表2!B:B,1,FALSE)</f>
        <v>#N/A</v>
      </c>
    </row>
    <row r="450" spans="1:40" ht="14.25" hidden="1" customHeight="1">
      <c r="A450" s="224"/>
      <c r="B45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07" t="s">
        <v>107</v>
      </c>
      <c r="D450" s="295" t="s">
        <v>1152</v>
      </c>
      <c r="E450" s="308" t="s">
        <v>1257</v>
      </c>
      <c r="F450" s="307" t="s">
        <v>1258</v>
      </c>
      <c r="G450" s="307" t="s">
        <v>1151</v>
      </c>
      <c r="H450" s="308" t="s">
        <v>147</v>
      </c>
      <c r="I450" s="308" t="s">
        <v>148</v>
      </c>
      <c r="J450" s="287"/>
      <c r="K450" s="226">
        <v>44516</v>
      </c>
      <c r="L450" s="226">
        <v>44517</v>
      </c>
      <c r="M450" s="226" t="str">
        <f>IFERROR(IF(VLOOKUP(功能_33[[#This Row],[功能代號]],討論項目!A:H,8,FALSE)=0,"",VLOOKUP(功能_33[[#This Row],[功能代號]],討論項目!A:H,8,FALSE)),"")</f>
        <v/>
      </c>
      <c r="N450" s="308" t="s">
        <v>7</v>
      </c>
      <c r="O450" s="308" t="s">
        <v>25</v>
      </c>
      <c r="T450" s="308"/>
      <c r="V450" s="308"/>
      <c r="W450" s="308"/>
      <c r="X450" s="307" t="str">
        <f>VLOOKUP(功能_33[[#This Row],[User]],SKL放款!A:G,7,FALSE)</f>
        <v>放款管理課</v>
      </c>
      <c r="Y450" s="228">
        <f>IF(功能_33[[#This Row],[實際展示]]="","",功能_33[[#This Row],[實際展示]]+14)</f>
        <v>44531</v>
      </c>
      <c r="Z450" s="226" t="s">
        <v>2809</v>
      </c>
      <c r="AA450" s="226"/>
      <c r="AB450" s="226"/>
      <c r="AC450" s="226"/>
      <c r="AD450" s="226"/>
      <c r="AE450" s="226"/>
      <c r="AF450" s="355"/>
      <c r="AG450" s="226" t="str">
        <f>IFERROR(IF(VLOOKUP(功能_33[[#This Row],[功能代號]],E:Q,11,FALSE)=0,"",VLOOKUP(功能_33[[#This Row],[功能代號]],E:Q,11,FALSE)),"")</f>
        <v>邱怡婷</v>
      </c>
      <c r="AH450" s="226"/>
      <c r="AI450" s="226"/>
      <c r="AJ450" s="307"/>
      <c r="AN450" s="307" t="e">
        <f>VLOOKUP(功能_33[[#This Row],[功能代號]],工作表2!B:B,1,FALSE)</f>
        <v>#N/A</v>
      </c>
    </row>
    <row r="451" spans="1:40" ht="14.25" hidden="1" customHeight="1">
      <c r="A451" s="224"/>
      <c r="B4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07" t="s">
        <v>107</v>
      </c>
      <c r="D451" s="295" t="s">
        <v>1152</v>
      </c>
      <c r="E451" s="308" t="s">
        <v>1259</v>
      </c>
      <c r="F451" s="307" t="s">
        <v>1260</v>
      </c>
      <c r="G451" s="307" t="s">
        <v>1151</v>
      </c>
      <c r="H451" s="308" t="s">
        <v>147</v>
      </c>
      <c r="I451" s="308" t="s">
        <v>148</v>
      </c>
      <c r="J451" s="287"/>
      <c r="K451" s="226">
        <v>44516</v>
      </c>
      <c r="L451" s="226">
        <v>44517</v>
      </c>
      <c r="M451" s="226" t="str">
        <f>IFERROR(IF(VLOOKUP(功能_33[[#This Row],[功能代號]],討論項目!A:H,8,FALSE)=0,"",VLOOKUP(功能_33[[#This Row],[功能代號]],討論項目!A:H,8,FALSE)),"")</f>
        <v/>
      </c>
      <c r="N451" s="308" t="s">
        <v>7</v>
      </c>
      <c r="O451" s="308" t="s">
        <v>25</v>
      </c>
      <c r="T451" s="308"/>
      <c r="V451" s="308"/>
      <c r="W451" s="308"/>
      <c r="X451" s="307" t="str">
        <f>VLOOKUP(功能_33[[#This Row],[User]],SKL放款!A:G,7,FALSE)</f>
        <v>放款管理課</v>
      </c>
      <c r="Y451" s="228">
        <f>IF(功能_33[[#This Row],[實際展示]]="","",功能_33[[#This Row],[實際展示]]+14)</f>
        <v>44531</v>
      </c>
      <c r="Z451" s="226" t="s">
        <v>2809</v>
      </c>
      <c r="AA451" s="226"/>
      <c r="AB451" s="226"/>
      <c r="AC451" s="226"/>
      <c r="AD451" s="226"/>
      <c r="AE451" s="226"/>
      <c r="AF451" s="355"/>
      <c r="AG451" s="226" t="str">
        <f>IFERROR(IF(VLOOKUP(功能_33[[#This Row],[功能代號]],E:Q,11,FALSE)=0,"",VLOOKUP(功能_33[[#This Row],[功能代號]],E:Q,11,FALSE)),"")</f>
        <v>邱怡婷</v>
      </c>
      <c r="AH451" s="226"/>
      <c r="AI451" s="226"/>
      <c r="AJ451" s="307"/>
      <c r="AN451" s="307" t="e">
        <f>VLOOKUP(功能_33[[#This Row],[功能代號]],工作表2!B:B,1,FALSE)</f>
        <v>#N/A</v>
      </c>
    </row>
    <row r="452" spans="1:40" ht="14.25" hidden="1" customHeight="1">
      <c r="A452" s="224"/>
      <c r="B45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07" t="s">
        <v>107</v>
      </c>
      <c r="D452" s="295" t="s">
        <v>1152</v>
      </c>
      <c r="E452" s="308" t="s">
        <v>1261</v>
      </c>
      <c r="F452" s="307" t="s">
        <v>1262</v>
      </c>
      <c r="G452" s="307" t="s">
        <v>1151</v>
      </c>
      <c r="H452" s="308" t="s">
        <v>147</v>
      </c>
      <c r="I452" s="308" t="s">
        <v>148</v>
      </c>
      <c r="J452" s="287"/>
      <c r="K452" s="226">
        <v>44517</v>
      </c>
      <c r="L452" s="226">
        <v>44517</v>
      </c>
      <c r="M452" s="226" t="str">
        <f>IFERROR(IF(VLOOKUP(功能_33[[#This Row],[功能代號]],討論項目!A:H,8,FALSE)=0,"",VLOOKUP(功能_33[[#This Row],[功能代號]],討論項目!A:H,8,FALSE)),"")</f>
        <v/>
      </c>
      <c r="N452" s="308" t="s">
        <v>7</v>
      </c>
      <c r="O452" s="308" t="s">
        <v>25</v>
      </c>
      <c r="T452" s="308"/>
      <c r="V452" s="308"/>
      <c r="W452" s="308"/>
      <c r="X452" s="307" t="str">
        <f>VLOOKUP(功能_33[[#This Row],[User]],SKL放款!A:G,7,FALSE)</f>
        <v>放款管理課</v>
      </c>
      <c r="Y452" s="228">
        <f>IF(功能_33[[#This Row],[實際展示]]="","",功能_33[[#This Row],[實際展示]]+14)</f>
        <v>44531</v>
      </c>
      <c r="Z452" s="226" t="s">
        <v>2809</v>
      </c>
      <c r="AA452" s="226"/>
      <c r="AB452" s="226"/>
      <c r="AC452" s="226"/>
      <c r="AD452" s="226"/>
      <c r="AE452" s="226"/>
      <c r="AF452" s="355"/>
      <c r="AG452" s="226" t="str">
        <f>IFERROR(IF(VLOOKUP(功能_33[[#This Row],[功能代號]],E:Q,11,FALSE)=0,"",VLOOKUP(功能_33[[#This Row],[功能代號]],E:Q,11,FALSE)),"")</f>
        <v>邱怡婷</v>
      </c>
      <c r="AH452" s="226"/>
      <c r="AI452" s="226"/>
      <c r="AJ452" s="307"/>
      <c r="AN452" s="307" t="e">
        <f>VLOOKUP(功能_33[[#This Row],[功能代號]],工作表2!B:B,1,FALSE)</f>
        <v>#N/A</v>
      </c>
    </row>
    <row r="453" spans="1:40" ht="14.25" hidden="1" customHeight="1">
      <c r="A453" s="224"/>
      <c r="B4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07" t="s">
        <v>107</v>
      </c>
      <c r="D453" s="295" t="s">
        <v>1152</v>
      </c>
      <c r="E453" s="308" t="s">
        <v>1263</v>
      </c>
      <c r="F453" s="307" t="s">
        <v>1264</v>
      </c>
      <c r="G453" s="307" t="s">
        <v>1151</v>
      </c>
      <c r="H453" s="308" t="s">
        <v>147</v>
      </c>
      <c r="I453" s="308" t="s">
        <v>148</v>
      </c>
      <c r="J453" s="287"/>
      <c r="K453" s="226">
        <v>44517</v>
      </c>
      <c r="L453" s="226">
        <v>44517</v>
      </c>
      <c r="M453" s="226" t="str">
        <f>IFERROR(IF(VLOOKUP(功能_33[[#This Row],[功能代號]],討論項目!A:H,8,FALSE)=0,"",VLOOKUP(功能_33[[#This Row],[功能代號]],討論項目!A:H,8,FALSE)),"")</f>
        <v/>
      </c>
      <c r="N453" s="308" t="s">
        <v>7</v>
      </c>
      <c r="O453" s="308" t="s">
        <v>25</v>
      </c>
      <c r="T453" s="308"/>
      <c r="V453" s="308"/>
      <c r="W453" s="308"/>
      <c r="X453" s="307" t="str">
        <f>VLOOKUP(功能_33[[#This Row],[User]],SKL放款!A:G,7,FALSE)</f>
        <v>放款管理課</v>
      </c>
      <c r="Y453" s="228">
        <f>IF(功能_33[[#This Row],[實際展示]]="","",功能_33[[#This Row],[實際展示]]+14)</f>
        <v>44531</v>
      </c>
      <c r="Z453" s="226" t="s">
        <v>2809</v>
      </c>
      <c r="AA453" s="226"/>
      <c r="AB453" s="226"/>
      <c r="AC453" s="226"/>
      <c r="AD453" s="226"/>
      <c r="AE453" s="226"/>
      <c r="AF453" s="355"/>
      <c r="AG453" s="226" t="str">
        <f>IFERROR(IF(VLOOKUP(功能_33[[#This Row],[功能代號]],E:Q,11,FALSE)=0,"",VLOOKUP(功能_33[[#This Row],[功能代號]],E:Q,11,FALSE)),"")</f>
        <v>邱怡婷</v>
      </c>
      <c r="AH453" s="226"/>
      <c r="AI453" s="226"/>
      <c r="AJ453" s="307"/>
      <c r="AN453" s="307" t="e">
        <f>VLOOKUP(功能_33[[#This Row],[功能代號]],工作表2!B:B,1,FALSE)</f>
        <v>#N/A</v>
      </c>
    </row>
    <row r="454" spans="1:40" ht="14.25" hidden="1" customHeight="1">
      <c r="A454" s="224"/>
      <c r="B4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07" t="s">
        <v>107</v>
      </c>
      <c r="D454" s="295" t="s">
        <v>1152</v>
      </c>
      <c r="E454" s="308" t="s">
        <v>1265</v>
      </c>
      <c r="F454" s="307" t="s">
        <v>1266</v>
      </c>
      <c r="G454" s="307" t="s">
        <v>1151</v>
      </c>
      <c r="H454" s="308" t="s">
        <v>147</v>
      </c>
      <c r="I454" s="308" t="s">
        <v>148</v>
      </c>
      <c r="J454" s="287"/>
      <c r="K454" s="226">
        <v>44517</v>
      </c>
      <c r="L454" s="226">
        <v>44517</v>
      </c>
      <c r="M454" s="226" t="str">
        <f>IFERROR(IF(VLOOKUP(功能_33[[#This Row],[功能代號]],討論項目!A:H,8,FALSE)=0,"",VLOOKUP(功能_33[[#This Row],[功能代號]],討論項目!A:H,8,FALSE)),"")</f>
        <v/>
      </c>
      <c r="N454" s="308" t="s">
        <v>7</v>
      </c>
      <c r="O454" s="308" t="s">
        <v>25</v>
      </c>
      <c r="T454" s="308"/>
      <c r="V454" s="308"/>
      <c r="W454" s="308"/>
      <c r="X454" s="307" t="str">
        <f>VLOOKUP(功能_33[[#This Row],[User]],SKL放款!A:G,7,FALSE)</f>
        <v>放款管理課</v>
      </c>
      <c r="Y454" s="228">
        <f>IF(功能_33[[#This Row],[實際展示]]="","",功能_33[[#This Row],[實際展示]]+14)</f>
        <v>44531</v>
      </c>
      <c r="Z454" s="226" t="s">
        <v>2809</v>
      </c>
      <c r="AA454" s="226"/>
      <c r="AB454" s="226"/>
      <c r="AC454" s="226"/>
      <c r="AD454" s="226"/>
      <c r="AE454" s="226"/>
      <c r="AF454" s="355"/>
      <c r="AG454" s="226" t="str">
        <f>IFERROR(IF(VLOOKUP(功能_33[[#This Row],[功能代號]],E:Q,11,FALSE)=0,"",VLOOKUP(功能_33[[#This Row],[功能代號]],E:Q,11,FALSE)),"")</f>
        <v>邱怡婷</v>
      </c>
      <c r="AH454" s="226"/>
      <c r="AI454" s="226"/>
      <c r="AJ454" s="307"/>
      <c r="AN454" s="307" t="e">
        <f>VLOOKUP(功能_33[[#This Row],[功能代號]],工作表2!B:B,1,FALSE)</f>
        <v>#N/A</v>
      </c>
    </row>
    <row r="455" spans="1:40" ht="14.25" hidden="1" customHeight="1">
      <c r="A455" s="224"/>
      <c r="B4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07" t="s">
        <v>107</v>
      </c>
      <c r="D455" s="295" t="s">
        <v>1152</v>
      </c>
      <c r="E455" s="308" t="s">
        <v>1267</v>
      </c>
      <c r="F455" s="307" t="s">
        <v>1268</v>
      </c>
      <c r="G455" s="307" t="s">
        <v>1151</v>
      </c>
      <c r="H455" s="308" t="s">
        <v>147</v>
      </c>
      <c r="I455" s="308" t="s">
        <v>148</v>
      </c>
      <c r="J455" s="287"/>
      <c r="K455" s="226">
        <v>44517</v>
      </c>
      <c r="L455" s="226">
        <v>44517</v>
      </c>
      <c r="M455" s="226" t="str">
        <f>IFERROR(IF(VLOOKUP(功能_33[[#This Row],[功能代號]],討論項目!A:H,8,FALSE)=0,"",VLOOKUP(功能_33[[#This Row],[功能代號]],討論項目!A:H,8,FALSE)),"")</f>
        <v/>
      </c>
      <c r="N455" s="308" t="s">
        <v>7</v>
      </c>
      <c r="O455" s="308" t="s">
        <v>25</v>
      </c>
      <c r="T455" s="308"/>
      <c r="V455" s="308"/>
      <c r="W455" s="308"/>
      <c r="X455" s="307" t="str">
        <f>VLOOKUP(功能_33[[#This Row],[User]],SKL放款!A:G,7,FALSE)</f>
        <v>放款管理課</v>
      </c>
      <c r="Y455" s="228">
        <f>IF(功能_33[[#This Row],[實際展示]]="","",功能_33[[#This Row],[實際展示]]+14)</f>
        <v>44531</v>
      </c>
      <c r="Z455" s="226" t="s">
        <v>2809</v>
      </c>
      <c r="AA455" s="226"/>
      <c r="AB455" s="226"/>
      <c r="AC455" s="226"/>
      <c r="AD455" s="226"/>
      <c r="AE455" s="226"/>
      <c r="AF455" s="355"/>
      <c r="AG455" s="226" t="str">
        <f>IFERROR(IF(VLOOKUP(功能_33[[#This Row],[功能代號]],E:Q,11,FALSE)=0,"",VLOOKUP(功能_33[[#This Row],[功能代號]],E:Q,11,FALSE)),"")</f>
        <v>邱怡婷</v>
      </c>
      <c r="AH455" s="226"/>
      <c r="AI455" s="226"/>
      <c r="AJ455" s="307"/>
      <c r="AN455" s="307" t="e">
        <f>VLOOKUP(功能_33[[#This Row],[功能代號]],工作表2!B:B,1,FALSE)</f>
        <v>#N/A</v>
      </c>
    </row>
    <row r="456" spans="1:40" ht="14.25" hidden="1" customHeight="1">
      <c r="A456" s="224"/>
      <c r="B4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07" t="s">
        <v>107</v>
      </c>
      <c r="D456" s="295" t="s">
        <v>1152</v>
      </c>
      <c r="E456" s="308" t="s">
        <v>1269</v>
      </c>
      <c r="F456" s="307" t="s">
        <v>1270</v>
      </c>
      <c r="G456" s="307" t="s">
        <v>1151</v>
      </c>
      <c r="H456" s="308" t="s">
        <v>147</v>
      </c>
      <c r="I456" s="308" t="s">
        <v>148</v>
      </c>
      <c r="J456" s="287"/>
      <c r="K456" s="226">
        <v>44518</v>
      </c>
      <c r="L456" s="226">
        <v>44517</v>
      </c>
      <c r="M456" s="226" t="str">
        <f>IFERROR(IF(VLOOKUP(功能_33[[#This Row],[功能代號]],討論項目!A:H,8,FALSE)=0,"",VLOOKUP(功能_33[[#This Row],[功能代號]],討論項目!A:H,8,FALSE)),"")</f>
        <v/>
      </c>
      <c r="N456" s="308" t="s">
        <v>7</v>
      </c>
      <c r="O456" s="308" t="s">
        <v>25</v>
      </c>
      <c r="T456" s="308"/>
      <c r="V456" s="308"/>
      <c r="W456" s="308"/>
      <c r="X456" s="307" t="str">
        <f>VLOOKUP(功能_33[[#This Row],[User]],SKL放款!A:G,7,FALSE)</f>
        <v>放款管理課</v>
      </c>
      <c r="Y456" s="228">
        <f>IF(功能_33[[#This Row],[實際展示]]="","",功能_33[[#This Row],[實際展示]]+14)</f>
        <v>44531</v>
      </c>
      <c r="Z456" s="226" t="s">
        <v>2809</v>
      </c>
      <c r="AA456" s="226"/>
      <c r="AB456" s="226"/>
      <c r="AC456" s="226"/>
      <c r="AD456" s="226"/>
      <c r="AE456" s="226"/>
      <c r="AF456" s="355"/>
      <c r="AG456" s="226" t="str">
        <f>IFERROR(IF(VLOOKUP(功能_33[[#This Row],[功能代號]],E:Q,11,FALSE)=0,"",VLOOKUP(功能_33[[#This Row],[功能代號]],E:Q,11,FALSE)),"")</f>
        <v>邱怡婷</v>
      </c>
      <c r="AH456" s="226"/>
      <c r="AI456" s="226"/>
      <c r="AJ456" s="307"/>
      <c r="AN456" s="307" t="e">
        <f>VLOOKUP(功能_33[[#This Row],[功能代號]],工作表2!B:B,1,FALSE)</f>
        <v>#N/A</v>
      </c>
    </row>
    <row r="457" spans="1:40" ht="14.25" hidden="1" customHeight="1">
      <c r="A457" s="224"/>
      <c r="B4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07" t="s">
        <v>107</v>
      </c>
      <c r="D457" s="295" t="s">
        <v>1152</v>
      </c>
      <c r="E457" s="308" t="s">
        <v>1271</v>
      </c>
      <c r="F457" s="307" t="s">
        <v>1272</v>
      </c>
      <c r="G457" s="307" t="s">
        <v>1151</v>
      </c>
      <c r="H457" s="308" t="s">
        <v>147</v>
      </c>
      <c r="I457" s="308" t="s">
        <v>148</v>
      </c>
      <c r="J457" s="287"/>
      <c r="K457" s="226">
        <v>44518</v>
      </c>
      <c r="L457" s="226">
        <v>44517</v>
      </c>
      <c r="M457" s="226" t="str">
        <f>IFERROR(IF(VLOOKUP(功能_33[[#This Row],[功能代號]],討論項目!A:H,8,FALSE)=0,"",VLOOKUP(功能_33[[#This Row],[功能代號]],討論項目!A:H,8,FALSE)),"")</f>
        <v/>
      </c>
      <c r="N457" s="308" t="s">
        <v>7</v>
      </c>
      <c r="O457" s="308" t="s">
        <v>25</v>
      </c>
      <c r="T457" s="308"/>
      <c r="V457" s="308"/>
      <c r="W457" s="308"/>
      <c r="X457" s="307" t="str">
        <f>VLOOKUP(功能_33[[#This Row],[User]],SKL放款!A:G,7,FALSE)</f>
        <v>放款管理課</v>
      </c>
      <c r="Y457" s="228">
        <f>IF(功能_33[[#This Row],[實際展示]]="","",功能_33[[#This Row],[實際展示]]+14)</f>
        <v>44531</v>
      </c>
      <c r="Z457" s="226" t="s">
        <v>2809</v>
      </c>
      <c r="AA457" s="226"/>
      <c r="AB457" s="226"/>
      <c r="AC457" s="226"/>
      <c r="AD457" s="226"/>
      <c r="AE457" s="226"/>
      <c r="AF457" s="355"/>
      <c r="AG457" s="226" t="str">
        <f>IFERROR(IF(VLOOKUP(功能_33[[#This Row],[功能代號]],E:Q,11,FALSE)=0,"",VLOOKUP(功能_33[[#This Row],[功能代號]],E:Q,11,FALSE)),"")</f>
        <v>邱怡婷</v>
      </c>
      <c r="AH457" s="226"/>
      <c r="AI457" s="226"/>
      <c r="AJ457" s="307"/>
      <c r="AN457" s="307" t="e">
        <f>VLOOKUP(功能_33[[#This Row],[功能代號]],工作表2!B:B,1,FALSE)</f>
        <v>#N/A</v>
      </c>
    </row>
    <row r="458" spans="1:40" ht="14.25" hidden="1" customHeight="1">
      <c r="A458" s="224"/>
      <c r="B4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07" t="s">
        <v>107</v>
      </c>
      <c r="D458" s="295" t="s">
        <v>1152</v>
      </c>
      <c r="E458" s="308" t="s">
        <v>1273</v>
      </c>
      <c r="F458" s="307" t="s">
        <v>1274</v>
      </c>
      <c r="G458" s="307" t="s">
        <v>1151</v>
      </c>
      <c r="H458" s="308" t="s">
        <v>147</v>
      </c>
      <c r="I458" s="308" t="s">
        <v>148</v>
      </c>
      <c r="J458" s="287"/>
      <c r="K458" s="226">
        <v>44518</v>
      </c>
      <c r="L458" s="226">
        <v>44517</v>
      </c>
      <c r="M458" s="226" t="str">
        <f>IFERROR(IF(VLOOKUP(功能_33[[#This Row],[功能代號]],討論項目!A:H,8,FALSE)=0,"",VLOOKUP(功能_33[[#This Row],[功能代號]],討論項目!A:H,8,FALSE)),"")</f>
        <v/>
      </c>
      <c r="N458" s="308" t="s">
        <v>7</v>
      </c>
      <c r="O458" s="308" t="s">
        <v>25</v>
      </c>
      <c r="T458" s="308"/>
      <c r="V458" s="308"/>
      <c r="W458" s="308"/>
      <c r="X458" s="307" t="str">
        <f>VLOOKUP(功能_33[[#This Row],[User]],SKL放款!A:G,7,FALSE)</f>
        <v>放款管理課</v>
      </c>
      <c r="Y458" s="228">
        <f>IF(功能_33[[#This Row],[實際展示]]="","",功能_33[[#This Row],[實際展示]]+14)</f>
        <v>44531</v>
      </c>
      <c r="Z458" s="226" t="s">
        <v>2809</v>
      </c>
      <c r="AA458" s="226"/>
      <c r="AB458" s="226"/>
      <c r="AC458" s="226"/>
      <c r="AD458" s="226"/>
      <c r="AE458" s="226"/>
      <c r="AF458" s="355"/>
      <c r="AG458" s="226" t="str">
        <f>IFERROR(IF(VLOOKUP(功能_33[[#This Row],[功能代號]],E:Q,11,FALSE)=0,"",VLOOKUP(功能_33[[#This Row],[功能代號]],E:Q,11,FALSE)),"")</f>
        <v>邱怡婷</v>
      </c>
      <c r="AH458" s="226"/>
      <c r="AI458" s="226"/>
      <c r="AJ458" s="307"/>
      <c r="AN458" s="307" t="e">
        <f>VLOOKUP(功能_33[[#This Row],[功能代號]],工作表2!B:B,1,FALSE)</f>
        <v>#N/A</v>
      </c>
    </row>
    <row r="459" spans="1:40" ht="14.25" hidden="1" customHeight="1">
      <c r="A459" s="224"/>
      <c r="B4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07" t="s">
        <v>107</v>
      </c>
      <c r="D459" s="295" t="s">
        <v>1152</v>
      </c>
      <c r="E459" s="308" t="s">
        <v>1275</v>
      </c>
      <c r="F459" s="307" t="s">
        <v>1276</v>
      </c>
      <c r="G459" s="307" t="s">
        <v>1151</v>
      </c>
      <c r="H459" s="308" t="s">
        <v>147</v>
      </c>
      <c r="I459" s="308" t="s">
        <v>148</v>
      </c>
      <c r="J459" s="287"/>
      <c r="K459" s="226">
        <v>44518</v>
      </c>
      <c r="L459" s="226">
        <v>44517</v>
      </c>
      <c r="M459" s="226" t="str">
        <f>IFERROR(IF(VLOOKUP(功能_33[[#This Row],[功能代號]],討論項目!A:H,8,FALSE)=0,"",VLOOKUP(功能_33[[#This Row],[功能代號]],討論項目!A:H,8,FALSE)),"")</f>
        <v/>
      </c>
      <c r="N459" s="308" t="s">
        <v>7</v>
      </c>
      <c r="O459" s="308" t="s">
        <v>25</v>
      </c>
      <c r="T459" s="308"/>
      <c r="V459" s="308"/>
      <c r="W459" s="308"/>
      <c r="X459" s="307" t="str">
        <f>VLOOKUP(功能_33[[#This Row],[User]],SKL放款!A:G,7,FALSE)</f>
        <v>放款管理課</v>
      </c>
      <c r="Y459" s="228">
        <f>IF(功能_33[[#This Row],[實際展示]]="","",功能_33[[#This Row],[實際展示]]+14)</f>
        <v>44531</v>
      </c>
      <c r="Z459" s="226" t="s">
        <v>2809</v>
      </c>
      <c r="AA459" s="226"/>
      <c r="AB459" s="226"/>
      <c r="AC459" s="226"/>
      <c r="AD459" s="226"/>
      <c r="AE459" s="226"/>
      <c r="AF459" s="355"/>
      <c r="AG459" s="226" t="str">
        <f>IFERROR(IF(VLOOKUP(功能_33[[#This Row],[功能代號]],E:Q,11,FALSE)=0,"",VLOOKUP(功能_33[[#This Row],[功能代號]],E:Q,11,FALSE)),"")</f>
        <v>邱怡婷</v>
      </c>
      <c r="AH459" s="226"/>
      <c r="AI459" s="226"/>
      <c r="AJ459" s="307"/>
      <c r="AN459" s="307" t="e">
        <f>VLOOKUP(功能_33[[#This Row],[功能代號]],工作表2!B:B,1,FALSE)</f>
        <v>#N/A</v>
      </c>
    </row>
    <row r="460" spans="1:40" ht="14.25" hidden="1" customHeight="1">
      <c r="A460" s="224"/>
      <c r="B4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07" t="s">
        <v>107</v>
      </c>
      <c r="D460" s="295" t="s">
        <v>1152</v>
      </c>
      <c r="E460" s="308" t="s">
        <v>1277</v>
      </c>
      <c r="F460" s="307" t="s">
        <v>1278</v>
      </c>
      <c r="G460" s="307" t="s">
        <v>1151</v>
      </c>
      <c r="H460" s="308" t="s">
        <v>147</v>
      </c>
      <c r="I460" s="308" t="s">
        <v>148</v>
      </c>
      <c r="J460" s="287"/>
      <c r="K460" s="226">
        <v>44518</v>
      </c>
      <c r="L460" s="226">
        <v>44517</v>
      </c>
      <c r="M460" s="226" t="str">
        <f>IFERROR(IF(VLOOKUP(功能_33[[#This Row],[功能代號]],討論項目!A:H,8,FALSE)=0,"",VLOOKUP(功能_33[[#This Row],[功能代號]],討論項目!A:H,8,FALSE)),"")</f>
        <v/>
      </c>
      <c r="N460" s="308" t="s">
        <v>7</v>
      </c>
      <c r="O460" s="308" t="s">
        <v>25</v>
      </c>
      <c r="T460" s="308"/>
      <c r="V460" s="308"/>
      <c r="W460" s="308"/>
      <c r="X460" s="307" t="str">
        <f>VLOOKUP(功能_33[[#This Row],[User]],SKL放款!A:G,7,FALSE)</f>
        <v>放款管理課</v>
      </c>
      <c r="Y460" s="228">
        <f>IF(功能_33[[#This Row],[實際展示]]="","",功能_33[[#This Row],[實際展示]]+14)</f>
        <v>44531</v>
      </c>
      <c r="Z460" s="226" t="s">
        <v>2809</v>
      </c>
      <c r="AA460" s="226"/>
      <c r="AB460" s="226"/>
      <c r="AC460" s="226"/>
      <c r="AD460" s="226"/>
      <c r="AE460" s="226"/>
      <c r="AF460" s="355"/>
      <c r="AG460" s="226" t="str">
        <f>IFERROR(IF(VLOOKUP(功能_33[[#This Row],[功能代號]],E:Q,11,FALSE)=0,"",VLOOKUP(功能_33[[#This Row],[功能代號]],E:Q,11,FALSE)),"")</f>
        <v>邱怡婷</v>
      </c>
      <c r="AH460" s="226"/>
      <c r="AI460" s="226"/>
      <c r="AJ460" s="307"/>
      <c r="AN460" s="307" t="e">
        <f>VLOOKUP(功能_33[[#This Row],[功能代號]],工作表2!B:B,1,FALSE)</f>
        <v>#N/A</v>
      </c>
    </row>
    <row r="461" spans="1:40" ht="14.25" hidden="1" customHeight="1">
      <c r="A461" s="224"/>
      <c r="B46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07" t="s">
        <v>107</v>
      </c>
      <c r="D461" s="295" t="s">
        <v>1152</v>
      </c>
      <c r="E461" s="308" t="s">
        <v>1279</v>
      </c>
      <c r="F461" s="307" t="s">
        <v>1280</v>
      </c>
      <c r="G461" s="307" t="s">
        <v>1151</v>
      </c>
      <c r="H461" s="308" t="s">
        <v>147</v>
      </c>
      <c r="I461" s="308" t="s">
        <v>148</v>
      </c>
      <c r="J461" s="287"/>
      <c r="K461" s="226">
        <v>44518</v>
      </c>
      <c r="L461" s="226">
        <v>44517</v>
      </c>
      <c r="M461" s="226" t="str">
        <f>IFERROR(IF(VLOOKUP(功能_33[[#This Row],[功能代號]],討論項目!A:H,8,FALSE)=0,"",VLOOKUP(功能_33[[#This Row],[功能代號]],討論項目!A:H,8,FALSE)),"")</f>
        <v/>
      </c>
      <c r="N461" s="308" t="s">
        <v>7</v>
      </c>
      <c r="O461" s="308" t="s">
        <v>25</v>
      </c>
      <c r="T461" s="308"/>
      <c r="V461" s="308"/>
      <c r="W461" s="308"/>
      <c r="X461" s="307" t="str">
        <f>VLOOKUP(功能_33[[#This Row],[User]],SKL放款!A:G,7,FALSE)</f>
        <v>放款管理課</v>
      </c>
      <c r="Y461" s="228">
        <f>IF(功能_33[[#This Row],[實際展示]]="","",功能_33[[#This Row],[實際展示]]+14)</f>
        <v>44531</v>
      </c>
      <c r="Z461" s="226" t="s">
        <v>2809</v>
      </c>
      <c r="AA461" s="226"/>
      <c r="AB461" s="226"/>
      <c r="AC461" s="226"/>
      <c r="AD461" s="226"/>
      <c r="AE461" s="226"/>
      <c r="AF461" s="355"/>
      <c r="AG461" s="226" t="str">
        <f>IFERROR(IF(VLOOKUP(功能_33[[#This Row],[功能代號]],E:Q,11,FALSE)=0,"",VLOOKUP(功能_33[[#This Row],[功能代號]],E:Q,11,FALSE)),"")</f>
        <v>邱怡婷</v>
      </c>
      <c r="AH461" s="226"/>
      <c r="AI461" s="226"/>
      <c r="AJ461" s="307"/>
      <c r="AN461" s="307" t="e">
        <f>VLOOKUP(功能_33[[#This Row],[功能代號]],工作表2!B:B,1,FALSE)</f>
        <v>#N/A</v>
      </c>
    </row>
    <row r="462" spans="1:40" ht="14.25" hidden="1" customHeight="1">
      <c r="A462" s="224"/>
      <c r="B46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07" t="s">
        <v>107</v>
      </c>
      <c r="D462" s="295" t="s">
        <v>1152</v>
      </c>
      <c r="E462" s="308" t="s">
        <v>1281</v>
      </c>
      <c r="F462" s="307" t="s">
        <v>1282</v>
      </c>
      <c r="G462" s="307" t="s">
        <v>1151</v>
      </c>
      <c r="H462" s="308" t="s">
        <v>147</v>
      </c>
      <c r="I462" s="308" t="s">
        <v>148</v>
      </c>
      <c r="J462" s="287"/>
      <c r="K462" s="226">
        <v>44518</v>
      </c>
      <c r="L462" s="226">
        <v>44517</v>
      </c>
      <c r="M462" s="226" t="str">
        <f>IFERROR(IF(VLOOKUP(功能_33[[#This Row],[功能代號]],討論項目!A:H,8,FALSE)=0,"",VLOOKUP(功能_33[[#This Row],[功能代號]],討論項目!A:H,8,FALSE)),"")</f>
        <v/>
      </c>
      <c r="N462" s="308" t="s">
        <v>7</v>
      </c>
      <c r="O462" s="308" t="s">
        <v>25</v>
      </c>
      <c r="T462" s="308"/>
      <c r="V462" s="308"/>
      <c r="W462" s="308"/>
      <c r="X462" s="307" t="str">
        <f>VLOOKUP(功能_33[[#This Row],[User]],SKL放款!A:G,7,FALSE)</f>
        <v>放款管理課</v>
      </c>
      <c r="Y462" s="228">
        <f>IF(功能_33[[#This Row],[實際展示]]="","",功能_33[[#This Row],[實際展示]]+14)</f>
        <v>44531</v>
      </c>
      <c r="Z462" s="226" t="s">
        <v>2809</v>
      </c>
      <c r="AA462" s="226"/>
      <c r="AB462" s="226"/>
      <c r="AC462" s="226"/>
      <c r="AD462" s="226"/>
      <c r="AE462" s="226"/>
      <c r="AF462" s="355"/>
      <c r="AG462" s="226" t="str">
        <f>IFERROR(IF(VLOOKUP(功能_33[[#This Row],[功能代號]],E:Q,11,FALSE)=0,"",VLOOKUP(功能_33[[#This Row],[功能代號]],E:Q,11,FALSE)),"")</f>
        <v>邱怡婷</v>
      </c>
      <c r="AH462" s="226"/>
      <c r="AI462" s="226"/>
      <c r="AJ462" s="307"/>
      <c r="AN462" s="307" t="e">
        <f>VLOOKUP(功能_33[[#This Row],[功能代號]],工作表2!B:B,1,FALSE)</f>
        <v>#N/A</v>
      </c>
    </row>
    <row r="463" spans="1:40" ht="14.25" hidden="1" customHeight="1">
      <c r="A463" s="224"/>
      <c r="B46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07" t="s">
        <v>107</v>
      </c>
      <c r="D463" s="295" t="s">
        <v>1152</v>
      </c>
      <c r="E463" s="308" t="s">
        <v>1283</v>
      </c>
      <c r="F463" s="307" t="s">
        <v>1284</v>
      </c>
      <c r="G463" s="307" t="s">
        <v>1151</v>
      </c>
      <c r="H463" s="308" t="s">
        <v>147</v>
      </c>
      <c r="I463" s="308" t="s">
        <v>148</v>
      </c>
      <c r="J463" s="287"/>
      <c r="K463" s="226">
        <v>44518</v>
      </c>
      <c r="L463" s="226">
        <v>44517</v>
      </c>
      <c r="M463" s="226" t="str">
        <f>IFERROR(IF(VLOOKUP(功能_33[[#This Row],[功能代號]],討論項目!A:H,8,FALSE)=0,"",VLOOKUP(功能_33[[#This Row],[功能代號]],討論項目!A:H,8,FALSE)),"")</f>
        <v/>
      </c>
      <c r="N463" s="308" t="s">
        <v>7</v>
      </c>
      <c r="O463" s="308" t="s">
        <v>25</v>
      </c>
      <c r="T463" s="308"/>
      <c r="V463" s="308"/>
      <c r="W463" s="308"/>
      <c r="X463" s="307" t="str">
        <f>VLOOKUP(功能_33[[#This Row],[User]],SKL放款!A:G,7,FALSE)</f>
        <v>放款管理課</v>
      </c>
      <c r="Y463" s="228">
        <f>IF(功能_33[[#This Row],[實際展示]]="","",功能_33[[#This Row],[實際展示]]+14)</f>
        <v>44531</v>
      </c>
      <c r="Z463" s="226" t="s">
        <v>2809</v>
      </c>
      <c r="AA463" s="226"/>
      <c r="AB463" s="226"/>
      <c r="AC463" s="226"/>
      <c r="AD463" s="226"/>
      <c r="AE463" s="226"/>
      <c r="AF463" s="355"/>
      <c r="AG463" s="226" t="str">
        <f>IFERROR(IF(VLOOKUP(功能_33[[#This Row],[功能代號]],E:Q,11,FALSE)=0,"",VLOOKUP(功能_33[[#This Row],[功能代號]],E:Q,11,FALSE)),"")</f>
        <v>邱怡婷</v>
      </c>
      <c r="AH463" s="226"/>
      <c r="AI463" s="226"/>
      <c r="AJ463" s="307"/>
      <c r="AN463" s="307" t="e">
        <f>VLOOKUP(功能_33[[#This Row],[功能代號]],工作表2!B:B,1,FALSE)</f>
        <v>#N/A</v>
      </c>
    </row>
    <row r="464" spans="1:40" ht="14.25" hidden="1" customHeight="1">
      <c r="A464" s="224"/>
      <c r="B4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07" t="s">
        <v>107</v>
      </c>
      <c r="D464" s="295" t="s">
        <v>1152</v>
      </c>
      <c r="E464" s="308" t="s">
        <v>1285</v>
      </c>
      <c r="F464" s="307" t="s">
        <v>1286</v>
      </c>
      <c r="G464" s="307" t="s">
        <v>1151</v>
      </c>
      <c r="H464" s="308" t="s">
        <v>147</v>
      </c>
      <c r="I464" s="308" t="s">
        <v>148</v>
      </c>
      <c r="J464" s="287"/>
      <c r="K464" s="226">
        <v>44518</v>
      </c>
      <c r="L464" s="226">
        <v>44517</v>
      </c>
      <c r="M464" s="226" t="str">
        <f>IFERROR(IF(VLOOKUP(功能_33[[#This Row],[功能代號]],討論項目!A:H,8,FALSE)=0,"",VLOOKUP(功能_33[[#This Row],[功能代號]],討論項目!A:H,8,FALSE)),"")</f>
        <v/>
      </c>
      <c r="N464" s="308" t="s">
        <v>7</v>
      </c>
      <c r="O464" s="308" t="s">
        <v>25</v>
      </c>
      <c r="T464" s="308"/>
      <c r="V464" s="308"/>
      <c r="W464" s="308"/>
      <c r="X464" s="307" t="str">
        <f>VLOOKUP(功能_33[[#This Row],[User]],SKL放款!A:G,7,FALSE)</f>
        <v>放款管理課</v>
      </c>
      <c r="Y464" s="228">
        <f>IF(功能_33[[#This Row],[實際展示]]="","",功能_33[[#This Row],[實際展示]]+14)</f>
        <v>44531</v>
      </c>
      <c r="Z464" s="226" t="s">
        <v>2809</v>
      </c>
      <c r="AA464" s="226"/>
      <c r="AB464" s="226"/>
      <c r="AC464" s="226"/>
      <c r="AD464" s="226"/>
      <c r="AE464" s="226"/>
      <c r="AF464" s="355"/>
      <c r="AG464" s="226" t="str">
        <f>IFERROR(IF(VLOOKUP(功能_33[[#This Row],[功能代號]],E:Q,11,FALSE)=0,"",VLOOKUP(功能_33[[#This Row],[功能代號]],E:Q,11,FALSE)),"")</f>
        <v>邱怡婷</v>
      </c>
      <c r="AH464" s="226"/>
      <c r="AI464" s="226"/>
      <c r="AJ464" s="307"/>
      <c r="AN464" s="307" t="e">
        <f>VLOOKUP(功能_33[[#This Row],[功能代號]],工作表2!B:B,1,FALSE)</f>
        <v>#N/A</v>
      </c>
    </row>
    <row r="465" spans="1:40" ht="14.25" hidden="1" customHeight="1">
      <c r="A465" s="224"/>
      <c r="B46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07" t="s">
        <v>107</v>
      </c>
      <c r="D465" s="295" t="s">
        <v>1152</v>
      </c>
      <c r="E465" s="308" t="s">
        <v>1287</v>
      </c>
      <c r="F465" s="307" t="s">
        <v>1288</v>
      </c>
      <c r="G465" s="307" t="s">
        <v>1151</v>
      </c>
      <c r="H465" s="308" t="s">
        <v>147</v>
      </c>
      <c r="I465" s="308" t="s">
        <v>148</v>
      </c>
      <c r="J465" s="287"/>
      <c r="K465" s="226">
        <v>44518</v>
      </c>
      <c r="L465" s="226">
        <v>44517</v>
      </c>
      <c r="M465" s="226" t="str">
        <f>IFERROR(IF(VLOOKUP(功能_33[[#This Row],[功能代號]],討論項目!A:H,8,FALSE)=0,"",VLOOKUP(功能_33[[#This Row],[功能代號]],討論項目!A:H,8,FALSE)),"")</f>
        <v/>
      </c>
      <c r="N465" s="308" t="s">
        <v>7</v>
      </c>
      <c r="O465" s="308" t="s">
        <v>25</v>
      </c>
      <c r="T465" s="308"/>
      <c r="V465" s="308"/>
      <c r="W465" s="308"/>
      <c r="X465" s="307" t="str">
        <f>VLOOKUP(功能_33[[#This Row],[User]],SKL放款!A:G,7,FALSE)</f>
        <v>放款管理課</v>
      </c>
      <c r="Y465" s="228">
        <f>IF(功能_33[[#This Row],[實際展示]]="","",功能_33[[#This Row],[實際展示]]+14)</f>
        <v>44531</v>
      </c>
      <c r="Z465" s="226" t="s">
        <v>2809</v>
      </c>
      <c r="AA465" s="226"/>
      <c r="AB465" s="226"/>
      <c r="AC465" s="226"/>
      <c r="AD465" s="226"/>
      <c r="AE465" s="226"/>
      <c r="AF465" s="355"/>
      <c r="AG465" s="226" t="str">
        <f>IFERROR(IF(VLOOKUP(功能_33[[#This Row],[功能代號]],E:Q,11,FALSE)=0,"",VLOOKUP(功能_33[[#This Row],[功能代號]],E:Q,11,FALSE)),"")</f>
        <v>邱怡婷</v>
      </c>
      <c r="AH465" s="226"/>
      <c r="AI465" s="226"/>
      <c r="AJ465" s="307"/>
      <c r="AN465" s="307" t="e">
        <f>VLOOKUP(功能_33[[#This Row],[功能代號]],工作表2!B:B,1,FALSE)</f>
        <v>#N/A</v>
      </c>
    </row>
    <row r="466" spans="1:40" ht="14.25" hidden="1" customHeight="1">
      <c r="A466" s="224"/>
      <c r="B4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07" t="s">
        <v>107</v>
      </c>
      <c r="D466" s="295" t="s">
        <v>1152</v>
      </c>
      <c r="E466" s="308" t="s">
        <v>1289</v>
      </c>
      <c r="F466" s="307" t="s">
        <v>1290</v>
      </c>
      <c r="G466" s="307" t="s">
        <v>1151</v>
      </c>
      <c r="H466" s="308" t="s">
        <v>147</v>
      </c>
      <c r="I466" s="308" t="s">
        <v>148</v>
      </c>
      <c r="J466" s="287"/>
      <c r="K466" s="226">
        <v>44519</v>
      </c>
      <c r="L466" s="226">
        <v>44517</v>
      </c>
      <c r="M466" s="226" t="str">
        <f>IFERROR(IF(VLOOKUP(功能_33[[#This Row],[功能代號]],討論項目!A:H,8,FALSE)=0,"",VLOOKUP(功能_33[[#This Row],[功能代號]],討論項目!A:H,8,FALSE)),"")</f>
        <v/>
      </c>
      <c r="N466" s="308" t="s">
        <v>7</v>
      </c>
      <c r="O466" s="308" t="s">
        <v>25</v>
      </c>
      <c r="T466" s="308"/>
      <c r="V466" s="308"/>
      <c r="W466" s="308"/>
      <c r="X466" s="307" t="str">
        <f>VLOOKUP(功能_33[[#This Row],[User]],SKL放款!A:G,7,FALSE)</f>
        <v>放款管理課</v>
      </c>
      <c r="Y466" s="228">
        <f>IF(功能_33[[#This Row],[實際展示]]="","",功能_33[[#This Row],[實際展示]]+14)</f>
        <v>44531</v>
      </c>
      <c r="Z466" s="226" t="s">
        <v>2809</v>
      </c>
      <c r="AA466" s="226"/>
      <c r="AB466" s="226"/>
      <c r="AC466" s="226"/>
      <c r="AD466" s="226"/>
      <c r="AE466" s="226"/>
      <c r="AF466" s="355"/>
      <c r="AG466" s="226" t="str">
        <f>IFERROR(IF(VLOOKUP(功能_33[[#This Row],[功能代號]],E:Q,11,FALSE)=0,"",VLOOKUP(功能_33[[#This Row],[功能代號]],E:Q,11,FALSE)),"")</f>
        <v>邱怡婷</v>
      </c>
      <c r="AH466" s="226"/>
      <c r="AI466" s="226"/>
      <c r="AJ466" s="307"/>
      <c r="AN466" s="307" t="e">
        <f>VLOOKUP(功能_33[[#This Row],[功能代號]],工作表2!B:B,1,FALSE)</f>
        <v>#N/A</v>
      </c>
    </row>
    <row r="467" spans="1:40" ht="14.25" hidden="1" customHeight="1">
      <c r="A467" s="224"/>
      <c r="B4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07" t="s">
        <v>107</v>
      </c>
      <c r="D467" s="295" t="s">
        <v>1152</v>
      </c>
      <c r="E467" s="308" t="s">
        <v>1291</v>
      </c>
      <c r="F467" s="307" t="s">
        <v>1292</v>
      </c>
      <c r="G467" s="307" t="s">
        <v>1151</v>
      </c>
      <c r="H467" s="308" t="s">
        <v>147</v>
      </c>
      <c r="I467" s="308" t="s">
        <v>148</v>
      </c>
      <c r="J467" s="287"/>
      <c r="K467" s="226">
        <v>44519</v>
      </c>
      <c r="L467" s="226">
        <v>44517</v>
      </c>
      <c r="M467" s="226" t="str">
        <f>IFERROR(IF(VLOOKUP(功能_33[[#This Row],[功能代號]],討論項目!A:H,8,FALSE)=0,"",VLOOKUP(功能_33[[#This Row],[功能代號]],討論項目!A:H,8,FALSE)),"")</f>
        <v/>
      </c>
      <c r="N467" s="308" t="s">
        <v>7</v>
      </c>
      <c r="O467" s="308" t="s">
        <v>25</v>
      </c>
      <c r="T467" s="308"/>
      <c r="V467" s="308"/>
      <c r="W467" s="308"/>
      <c r="X467" s="307" t="str">
        <f>VLOOKUP(功能_33[[#This Row],[User]],SKL放款!A:G,7,FALSE)</f>
        <v>放款管理課</v>
      </c>
      <c r="Y467" s="228">
        <f>IF(功能_33[[#This Row],[實際展示]]="","",功能_33[[#This Row],[實際展示]]+14)</f>
        <v>44531</v>
      </c>
      <c r="Z467" s="226" t="s">
        <v>2809</v>
      </c>
      <c r="AA467" s="226"/>
      <c r="AB467" s="226"/>
      <c r="AC467" s="226"/>
      <c r="AD467" s="226"/>
      <c r="AE467" s="226"/>
      <c r="AF467" s="355"/>
      <c r="AG467" s="226" t="str">
        <f>IFERROR(IF(VLOOKUP(功能_33[[#This Row],[功能代號]],E:Q,11,FALSE)=0,"",VLOOKUP(功能_33[[#This Row],[功能代號]],E:Q,11,FALSE)),"")</f>
        <v>邱怡婷</v>
      </c>
      <c r="AH467" s="226"/>
      <c r="AI467" s="226"/>
      <c r="AJ467" s="307"/>
      <c r="AN467" s="307" t="e">
        <f>VLOOKUP(功能_33[[#This Row],[功能代號]],工作表2!B:B,1,FALSE)</f>
        <v>#N/A</v>
      </c>
    </row>
    <row r="468" spans="1:40" ht="14.25" hidden="1" customHeight="1">
      <c r="A468" s="224"/>
      <c r="B4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07" t="s">
        <v>107</v>
      </c>
      <c r="D468" s="295" t="s">
        <v>1152</v>
      </c>
      <c r="E468" s="308" t="s">
        <v>1293</v>
      </c>
      <c r="F468" s="307" t="s">
        <v>1294</v>
      </c>
      <c r="G468" s="307" t="s">
        <v>1151</v>
      </c>
      <c r="H468" s="308" t="s">
        <v>147</v>
      </c>
      <c r="I468" s="308" t="s">
        <v>148</v>
      </c>
      <c r="J468" s="287"/>
      <c r="K468" s="226">
        <v>44519</v>
      </c>
      <c r="L468" s="226">
        <v>44517</v>
      </c>
      <c r="M468" s="226" t="str">
        <f>IFERROR(IF(VLOOKUP(功能_33[[#This Row],[功能代號]],討論項目!A:H,8,FALSE)=0,"",VLOOKUP(功能_33[[#This Row],[功能代號]],討論項目!A:H,8,FALSE)),"")</f>
        <v/>
      </c>
      <c r="N468" s="308" t="s">
        <v>7</v>
      </c>
      <c r="O468" s="308" t="s">
        <v>25</v>
      </c>
      <c r="T468" s="308"/>
      <c r="V468" s="308"/>
      <c r="W468" s="308"/>
      <c r="X468" s="307" t="str">
        <f>VLOOKUP(功能_33[[#This Row],[User]],SKL放款!A:G,7,FALSE)</f>
        <v>放款管理課</v>
      </c>
      <c r="Y468" s="228">
        <f>IF(功能_33[[#This Row],[實際展示]]="","",功能_33[[#This Row],[實際展示]]+14)</f>
        <v>44531</v>
      </c>
      <c r="Z468" s="226" t="s">
        <v>2809</v>
      </c>
      <c r="AA468" s="226"/>
      <c r="AB468" s="226"/>
      <c r="AC468" s="226"/>
      <c r="AD468" s="226"/>
      <c r="AE468" s="226"/>
      <c r="AF468" s="355"/>
      <c r="AG468" s="226" t="str">
        <f>IFERROR(IF(VLOOKUP(功能_33[[#This Row],[功能代號]],E:Q,11,FALSE)=0,"",VLOOKUP(功能_33[[#This Row],[功能代號]],E:Q,11,FALSE)),"")</f>
        <v>邱怡婷</v>
      </c>
      <c r="AH468" s="226"/>
      <c r="AI468" s="226"/>
      <c r="AJ468" s="307"/>
      <c r="AN468" s="307" t="e">
        <f>VLOOKUP(功能_33[[#This Row],[功能代號]],工作表2!B:B,1,FALSE)</f>
        <v>#N/A</v>
      </c>
    </row>
    <row r="469" spans="1:40" ht="14.25" hidden="1" customHeight="1">
      <c r="A469" s="224"/>
      <c r="B4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07" t="s">
        <v>107</v>
      </c>
      <c r="D469" s="295" t="s">
        <v>1152</v>
      </c>
      <c r="E469" s="308" t="s">
        <v>1295</v>
      </c>
      <c r="F469" s="307" t="s">
        <v>1296</v>
      </c>
      <c r="G469" s="307" t="s">
        <v>1151</v>
      </c>
      <c r="H469" s="308" t="s">
        <v>147</v>
      </c>
      <c r="I469" s="308" t="s">
        <v>148</v>
      </c>
      <c r="J469" s="287"/>
      <c r="K469" s="226">
        <v>44519</v>
      </c>
      <c r="L469" s="226">
        <v>44517</v>
      </c>
      <c r="M469" s="226" t="str">
        <f>IFERROR(IF(VLOOKUP(功能_33[[#This Row],[功能代號]],討論項目!A:H,8,FALSE)=0,"",VLOOKUP(功能_33[[#This Row],[功能代號]],討論項目!A:H,8,FALSE)),"")</f>
        <v/>
      </c>
      <c r="N469" s="308" t="s">
        <v>7</v>
      </c>
      <c r="O469" s="308" t="s">
        <v>25</v>
      </c>
      <c r="T469" s="308"/>
      <c r="V469" s="308"/>
      <c r="W469" s="308"/>
      <c r="X469" s="307" t="str">
        <f>VLOOKUP(功能_33[[#This Row],[User]],SKL放款!A:G,7,FALSE)</f>
        <v>放款管理課</v>
      </c>
      <c r="Y469" s="228">
        <f>IF(功能_33[[#This Row],[實際展示]]="","",功能_33[[#This Row],[實際展示]]+14)</f>
        <v>44531</v>
      </c>
      <c r="Z469" s="226" t="s">
        <v>2809</v>
      </c>
      <c r="AA469" s="226"/>
      <c r="AB469" s="226"/>
      <c r="AC469" s="226"/>
      <c r="AD469" s="226"/>
      <c r="AE469" s="226"/>
      <c r="AF469" s="355"/>
      <c r="AG469" s="226" t="str">
        <f>IFERROR(IF(VLOOKUP(功能_33[[#This Row],[功能代號]],E:Q,11,FALSE)=0,"",VLOOKUP(功能_33[[#This Row],[功能代號]],E:Q,11,FALSE)),"")</f>
        <v>邱怡婷</v>
      </c>
      <c r="AH469" s="226"/>
      <c r="AI469" s="226"/>
      <c r="AJ469" s="307"/>
      <c r="AN469" s="307" t="e">
        <f>VLOOKUP(功能_33[[#This Row],[功能代號]],工作表2!B:B,1,FALSE)</f>
        <v>#N/A</v>
      </c>
    </row>
    <row r="470" spans="1:40" ht="14.25" hidden="1" customHeight="1">
      <c r="A470" s="224"/>
      <c r="B4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307" t="s">
        <v>107</v>
      </c>
      <c r="D470" s="295" t="s">
        <v>1152</v>
      </c>
      <c r="E470" s="308" t="s">
        <v>1297</v>
      </c>
      <c r="F470" s="307" t="s">
        <v>1298</v>
      </c>
      <c r="G470" s="307" t="s">
        <v>1151</v>
      </c>
      <c r="H470" s="308" t="s">
        <v>147</v>
      </c>
      <c r="I470" s="308" t="s">
        <v>148</v>
      </c>
      <c r="J470" s="287"/>
      <c r="K470" s="226">
        <v>44519</v>
      </c>
      <c r="L470" s="226">
        <v>44517</v>
      </c>
      <c r="M470" s="226" t="str">
        <f>IFERROR(IF(VLOOKUP(功能_33[[#This Row],[功能代號]],討論項目!A:H,8,FALSE)=0,"",VLOOKUP(功能_33[[#This Row],[功能代號]],討論項目!A:H,8,FALSE)),"")</f>
        <v/>
      </c>
      <c r="N470" s="308" t="s">
        <v>7</v>
      </c>
      <c r="O470" s="308" t="s">
        <v>25</v>
      </c>
      <c r="T470" s="308"/>
      <c r="V470" s="308"/>
      <c r="W470" s="308"/>
      <c r="X470" s="307" t="str">
        <f>VLOOKUP(功能_33[[#This Row],[User]],SKL放款!A:G,7,FALSE)</f>
        <v>放款管理課</v>
      </c>
      <c r="Y470" s="228">
        <f>IF(功能_33[[#This Row],[實際展示]]="","",功能_33[[#This Row],[實際展示]]+14)</f>
        <v>44531</v>
      </c>
      <c r="Z470" s="226" t="s">
        <v>2809</v>
      </c>
      <c r="AA470" s="226"/>
      <c r="AB470" s="226"/>
      <c r="AC470" s="226"/>
      <c r="AD470" s="226"/>
      <c r="AE470" s="226"/>
      <c r="AF470" s="355"/>
      <c r="AG470" s="226" t="str">
        <f>IFERROR(IF(VLOOKUP(功能_33[[#This Row],[功能代號]],E:Q,11,FALSE)=0,"",VLOOKUP(功能_33[[#This Row],[功能代號]],E:Q,11,FALSE)),"")</f>
        <v>邱怡婷</v>
      </c>
      <c r="AH470" s="226"/>
      <c r="AI470" s="226"/>
      <c r="AJ470" s="307"/>
      <c r="AN470" s="307" t="e">
        <f>VLOOKUP(功能_33[[#This Row],[功能代號]],工作表2!B:B,1,FALSE)</f>
        <v>#N/A</v>
      </c>
    </row>
    <row r="471" spans="1:40" ht="14.25" hidden="1" customHeight="1">
      <c r="A471" s="224"/>
      <c r="B47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307" t="s">
        <v>107</v>
      </c>
      <c r="D471" s="295" t="s">
        <v>1152</v>
      </c>
      <c r="E471" s="308" t="s">
        <v>1299</v>
      </c>
      <c r="F471" s="307" t="s">
        <v>1300</v>
      </c>
      <c r="G471" s="307" t="s">
        <v>1151</v>
      </c>
      <c r="H471" s="308" t="s">
        <v>147</v>
      </c>
      <c r="I471" s="308" t="s">
        <v>148</v>
      </c>
      <c r="J471" s="287"/>
      <c r="K471" s="226">
        <v>44519</v>
      </c>
      <c r="L471" s="226">
        <v>44517</v>
      </c>
      <c r="M471" s="226" t="str">
        <f>IFERROR(IF(VLOOKUP(功能_33[[#This Row],[功能代號]],討論項目!A:H,8,FALSE)=0,"",VLOOKUP(功能_33[[#This Row],[功能代號]],討論項目!A:H,8,FALSE)),"")</f>
        <v/>
      </c>
      <c r="N471" s="308" t="s">
        <v>7</v>
      </c>
      <c r="O471" s="308" t="s">
        <v>25</v>
      </c>
      <c r="T471" s="308"/>
      <c r="V471" s="308"/>
      <c r="W471" s="308"/>
      <c r="X471" s="307" t="str">
        <f>VLOOKUP(功能_33[[#This Row],[User]],SKL放款!A:G,7,FALSE)</f>
        <v>放款管理課</v>
      </c>
      <c r="Y471" s="228">
        <f>IF(功能_33[[#This Row],[實際展示]]="","",功能_33[[#This Row],[實際展示]]+14)</f>
        <v>44531</v>
      </c>
      <c r="Z471" s="226" t="s">
        <v>2809</v>
      </c>
      <c r="AA471" s="226"/>
      <c r="AB471" s="226"/>
      <c r="AC471" s="226"/>
      <c r="AD471" s="226"/>
      <c r="AE471" s="226"/>
      <c r="AF471" s="355"/>
      <c r="AG471" s="226" t="str">
        <f>IFERROR(IF(VLOOKUP(功能_33[[#This Row],[功能代號]],E:Q,11,FALSE)=0,"",VLOOKUP(功能_33[[#This Row],[功能代號]],E:Q,11,FALSE)),"")</f>
        <v>邱怡婷</v>
      </c>
      <c r="AH471" s="226"/>
      <c r="AI471" s="226"/>
      <c r="AJ471" s="307"/>
      <c r="AN471" s="307" t="e">
        <f>VLOOKUP(功能_33[[#This Row],[功能代號]],工作表2!B:B,1,FALSE)</f>
        <v>#N/A</v>
      </c>
    </row>
    <row r="472" spans="1:40" ht="14.25" hidden="1" customHeight="1">
      <c r="A472" s="224"/>
      <c r="B47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07" t="s">
        <v>107</v>
      </c>
      <c r="D472" s="295" t="s">
        <v>1148</v>
      </c>
      <c r="E472" s="308" t="s">
        <v>1301</v>
      </c>
      <c r="F472" s="307" t="s">
        <v>1302</v>
      </c>
      <c r="G472" s="307" t="s">
        <v>1151</v>
      </c>
      <c r="H472" s="308" t="s">
        <v>147</v>
      </c>
      <c r="I472" s="308" t="s">
        <v>148</v>
      </c>
      <c r="J472" s="287"/>
      <c r="K472" s="226">
        <v>44515</v>
      </c>
      <c r="L472" s="226">
        <v>44517</v>
      </c>
      <c r="M472" s="226" t="str">
        <f>IFERROR(IF(VLOOKUP(功能_33[[#This Row],[功能代號]],討論項目!A:H,8,FALSE)=0,"",VLOOKUP(功能_33[[#This Row],[功能代號]],討論項目!A:H,8,FALSE)),"")</f>
        <v/>
      </c>
      <c r="N472" s="308" t="s">
        <v>7</v>
      </c>
      <c r="O472" s="308" t="s">
        <v>25</v>
      </c>
      <c r="T472" s="308"/>
      <c r="V472" s="308"/>
      <c r="W472" s="308"/>
      <c r="X472" s="307" t="str">
        <f>VLOOKUP(功能_33[[#This Row],[User]],SKL放款!A:G,7,FALSE)</f>
        <v>放款管理課</v>
      </c>
      <c r="Y472" s="228">
        <f>IF(功能_33[[#This Row],[實際展示]]="","",功能_33[[#This Row],[實際展示]]+14)</f>
        <v>44531</v>
      </c>
      <c r="Z472" s="226" t="s">
        <v>2809</v>
      </c>
      <c r="AA472" s="226"/>
      <c r="AB472" s="226"/>
      <c r="AC472" s="226"/>
      <c r="AD472" s="226"/>
      <c r="AE472" s="226"/>
      <c r="AF472" s="355"/>
      <c r="AG472" s="226" t="str">
        <f>IFERROR(IF(VLOOKUP(功能_33[[#This Row],[功能代號]],E:Q,11,FALSE)=0,"",VLOOKUP(功能_33[[#This Row],[功能代號]],E:Q,11,FALSE)),"")</f>
        <v>邱怡婷</v>
      </c>
      <c r="AH472" s="226"/>
      <c r="AI472" s="226"/>
      <c r="AJ472" s="307"/>
      <c r="AN472" s="307" t="e">
        <f>VLOOKUP(功能_33[[#This Row],[功能代號]],工作表2!B:B,1,FALSE)</f>
        <v>#N/A</v>
      </c>
    </row>
    <row r="473" spans="1:40" ht="14.25" hidden="1" customHeight="1">
      <c r="A473" s="224"/>
      <c r="B47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07" t="s">
        <v>107</v>
      </c>
      <c r="D473" s="295" t="s">
        <v>1148</v>
      </c>
      <c r="E473" s="308" t="s">
        <v>1303</v>
      </c>
      <c r="F473" s="307" t="s">
        <v>1304</v>
      </c>
      <c r="G473" s="307" t="s">
        <v>1151</v>
      </c>
      <c r="H473" s="308" t="s">
        <v>147</v>
      </c>
      <c r="I473" s="308" t="s">
        <v>148</v>
      </c>
      <c r="J473" s="287"/>
      <c r="K473" s="226">
        <v>44515</v>
      </c>
      <c r="L473" s="226">
        <v>44517</v>
      </c>
      <c r="M473" s="226" t="str">
        <f>IFERROR(IF(VLOOKUP(功能_33[[#This Row],[功能代號]],討論項目!A:H,8,FALSE)=0,"",VLOOKUP(功能_33[[#This Row],[功能代號]],討論項目!A:H,8,FALSE)),"")</f>
        <v/>
      </c>
      <c r="N473" s="308" t="s">
        <v>7</v>
      </c>
      <c r="O473" s="308" t="s">
        <v>25</v>
      </c>
      <c r="T473" s="308"/>
      <c r="V473" s="308"/>
      <c r="W473" s="308"/>
      <c r="X473" s="307" t="str">
        <f>VLOOKUP(功能_33[[#This Row],[User]],SKL放款!A:G,7,FALSE)</f>
        <v>放款管理課</v>
      </c>
      <c r="Y473" s="228">
        <f>IF(功能_33[[#This Row],[實際展示]]="","",功能_33[[#This Row],[實際展示]]+14)</f>
        <v>44531</v>
      </c>
      <c r="Z473" s="226" t="s">
        <v>2809</v>
      </c>
      <c r="AA473" s="226"/>
      <c r="AB473" s="226"/>
      <c r="AC473" s="226"/>
      <c r="AD473" s="226"/>
      <c r="AE473" s="226"/>
      <c r="AF473" s="355"/>
      <c r="AG473" s="226" t="str">
        <f>IFERROR(IF(VLOOKUP(功能_33[[#This Row],[功能代號]],E:Q,11,FALSE)=0,"",VLOOKUP(功能_33[[#This Row],[功能代號]],E:Q,11,FALSE)),"")</f>
        <v>邱怡婷</v>
      </c>
      <c r="AH473" s="226"/>
      <c r="AI473" s="226"/>
      <c r="AJ473" s="307"/>
      <c r="AN473" s="307" t="e">
        <f>VLOOKUP(功能_33[[#This Row],[功能代號]],工作表2!B:B,1,FALSE)</f>
        <v>#N/A</v>
      </c>
    </row>
    <row r="474" spans="1:40" ht="14.25" hidden="1" customHeight="1">
      <c r="A474" s="224"/>
      <c r="B47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07" t="s">
        <v>107</v>
      </c>
      <c r="D474" s="295" t="s">
        <v>1148</v>
      </c>
      <c r="E474" s="308" t="s">
        <v>1305</v>
      </c>
      <c r="F474" s="307" t="s">
        <v>1306</v>
      </c>
      <c r="G474" s="307" t="s">
        <v>1151</v>
      </c>
      <c r="H474" s="308" t="s">
        <v>147</v>
      </c>
      <c r="I474" s="308" t="s">
        <v>148</v>
      </c>
      <c r="J474" s="287"/>
      <c r="K474" s="226">
        <v>44515</v>
      </c>
      <c r="L474" s="226">
        <v>44517</v>
      </c>
      <c r="M474" s="226" t="str">
        <f>IFERROR(IF(VLOOKUP(功能_33[[#This Row],[功能代號]],討論項目!A:H,8,FALSE)=0,"",VLOOKUP(功能_33[[#This Row],[功能代號]],討論項目!A:H,8,FALSE)),"")</f>
        <v/>
      </c>
      <c r="N474" s="308" t="s">
        <v>7</v>
      </c>
      <c r="O474" s="308" t="s">
        <v>25</v>
      </c>
      <c r="T474" s="308"/>
      <c r="V474" s="308"/>
      <c r="W474" s="308"/>
      <c r="X474" s="307" t="str">
        <f>VLOOKUP(功能_33[[#This Row],[User]],SKL放款!A:G,7,FALSE)</f>
        <v>放款管理課</v>
      </c>
      <c r="Y474" s="228">
        <f>IF(功能_33[[#This Row],[實際展示]]="","",功能_33[[#This Row],[實際展示]]+14)</f>
        <v>44531</v>
      </c>
      <c r="Z474" s="226" t="s">
        <v>2809</v>
      </c>
      <c r="AA474" s="226"/>
      <c r="AB474" s="226"/>
      <c r="AC474" s="226"/>
      <c r="AD474" s="226"/>
      <c r="AE474" s="226"/>
      <c r="AF474" s="355"/>
      <c r="AG474" s="226" t="str">
        <f>IFERROR(IF(VLOOKUP(功能_33[[#This Row],[功能代號]],E:Q,11,FALSE)=0,"",VLOOKUP(功能_33[[#This Row],[功能代號]],E:Q,11,FALSE)),"")</f>
        <v>邱怡婷</v>
      </c>
      <c r="AH474" s="226"/>
      <c r="AI474" s="226"/>
      <c r="AJ474" s="307"/>
      <c r="AN474" s="307" t="e">
        <f>VLOOKUP(功能_33[[#This Row],[功能代號]],工作表2!B:B,1,FALSE)</f>
        <v>#N/A</v>
      </c>
    </row>
    <row r="475" spans="1:40" ht="14.25" hidden="1" customHeight="1">
      <c r="A475" s="224"/>
      <c r="B47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07" t="s">
        <v>107</v>
      </c>
      <c r="D475" s="295" t="s">
        <v>1148</v>
      </c>
      <c r="E475" s="308" t="s">
        <v>1307</v>
      </c>
      <c r="F475" s="307" t="s">
        <v>1308</v>
      </c>
      <c r="G475" s="307" t="s">
        <v>1151</v>
      </c>
      <c r="H475" s="308" t="s">
        <v>147</v>
      </c>
      <c r="I475" s="308" t="s">
        <v>148</v>
      </c>
      <c r="J475" s="287"/>
      <c r="K475" s="226">
        <v>44515</v>
      </c>
      <c r="L475" s="226">
        <v>44517</v>
      </c>
      <c r="M475" s="226" t="str">
        <f>IFERROR(IF(VLOOKUP(功能_33[[#This Row],[功能代號]],討論項目!A:H,8,FALSE)=0,"",VLOOKUP(功能_33[[#This Row],[功能代號]],討論項目!A:H,8,FALSE)),"")</f>
        <v/>
      </c>
      <c r="N475" s="308" t="s">
        <v>7</v>
      </c>
      <c r="O475" s="308" t="s">
        <v>25</v>
      </c>
      <c r="T475" s="308"/>
      <c r="V475" s="308"/>
      <c r="W475" s="308"/>
      <c r="X475" s="307" t="str">
        <f>VLOOKUP(功能_33[[#This Row],[User]],SKL放款!A:G,7,FALSE)</f>
        <v>放款管理課</v>
      </c>
      <c r="Y475" s="228">
        <f>IF(功能_33[[#This Row],[實際展示]]="","",功能_33[[#This Row],[實際展示]]+14)</f>
        <v>44531</v>
      </c>
      <c r="Z475" s="226" t="s">
        <v>2809</v>
      </c>
      <c r="AA475" s="226"/>
      <c r="AB475" s="226"/>
      <c r="AC475" s="226"/>
      <c r="AD475" s="226"/>
      <c r="AE475" s="226"/>
      <c r="AF475" s="355"/>
      <c r="AG475" s="226" t="str">
        <f>IFERROR(IF(VLOOKUP(功能_33[[#This Row],[功能代號]],E:Q,11,FALSE)=0,"",VLOOKUP(功能_33[[#This Row],[功能代號]],E:Q,11,FALSE)),"")</f>
        <v>邱怡婷</v>
      </c>
      <c r="AH475" s="226"/>
      <c r="AI475" s="226"/>
      <c r="AJ475" s="307"/>
      <c r="AN475" s="307" t="e">
        <f>VLOOKUP(功能_33[[#This Row],[功能代號]],工作表2!B:B,1,FALSE)</f>
        <v>#N/A</v>
      </c>
    </row>
    <row r="476" spans="1:40" ht="14.25" hidden="1" customHeight="1">
      <c r="A476" s="224"/>
      <c r="B47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07" t="s">
        <v>107</v>
      </c>
      <c r="D476" s="295" t="s">
        <v>1148</v>
      </c>
      <c r="E476" s="308" t="s">
        <v>1309</v>
      </c>
      <c r="F476" s="307" t="s">
        <v>1310</v>
      </c>
      <c r="G476" s="307" t="s">
        <v>1151</v>
      </c>
      <c r="H476" s="308" t="s">
        <v>147</v>
      </c>
      <c r="I476" s="308" t="s">
        <v>148</v>
      </c>
      <c r="J476" s="287"/>
      <c r="K476" s="226">
        <v>44515</v>
      </c>
      <c r="L476" s="226">
        <v>44517</v>
      </c>
      <c r="M476" s="226" t="str">
        <f>IFERROR(IF(VLOOKUP(功能_33[[#This Row],[功能代號]],討論項目!A:H,8,FALSE)=0,"",VLOOKUP(功能_33[[#This Row],[功能代號]],討論項目!A:H,8,FALSE)),"")</f>
        <v/>
      </c>
      <c r="N476" s="308" t="s">
        <v>7</v>
      </c>
      <c r="O476" s="308" t="s">
        <v>25</v>
      </c>
      <c r="T476" s="308"/>
      <c r="V476" s="308"/>
      <c r="W476" s="308"/>
      <c r="X476" s="307" t="str">
        <f>VLOOKUP(功能_33[[#This Row],[User]],SKL放款!A:G,7,FALSE)</f>
        <v>放款管理課</v>
      </c>
      <c r="Y476" s="228">
        <f>IF(功能_33[[#This Row],[實際展示]]="","",功能_33[[#This Row],[實際展示]]+14)</f>
        <v>44531</v>
      </c>
      <c r="Z476" s="226" t="s">
        <v>2809</v>
      </c>
      <c r="AA476" s="226"/>
      <c r="AB476" s="226"/>
      <c r="AC476" s="226"/>
      <c r="AD476" s="226"/>
      <c r="AE476" s="226"/>
      <c r="AF476" s="355"/>
      <c r="AG476" s="226" t="str">
        <f>IFERROR(IF(VLOOKUP(功能_33[[#This Row],[功能代號]],E:Q,11,FALSE)=0,"",VLOOKUP(功能_33[[#This Row],[功能代號]],E:Q,11,FALSE)),"")</f>
        <v>邱怡婷</v>
      </c>
      <c r="AH476" s="226"/>
      <c r="AI476" s="226"/>
      <c r="AJ476" s="307"/>
      <c r="AN476" s="307" t="e">
        <f>VLOOKUP(功能_33[[#This Row],[功能代號]],工作表2!B:B,1,FALSE)</f>
        <v>#N/A</v>
      </c>
    </row>
    <row r="477" spans="1:40" ht="14.25" hidden="1" customHeight="1">
      <c r="A477" s="224"/>
      <c r="B47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07" t="s">
        <v>107</v>
      </c>
      <c r="D477" s="295" t="s">
        <v>1148</v>
      </c>
      <c r="E477" s="308" t="s">
        <v>1311</v>
      </c>
      <c r="F477" s="307" t="s">
        <v>1312</v>
      </c>
      <c r="G477" s="307" t="s">
        <v>1151</v>
      </c>
      <c r="H477" s="308" t="s">
        <v>147</v>
      </c>
      <c r="I477" s="308" t="s">
        <v>148</v>
      </c>
      <c r="J477" s="287"/>
      <c r="K477" s="226">
        <v>44515</v>
      </c>
      <c r="L477" s="226">
        <v>44517</v>
      </c>
      <c r="M477" s="226" t="str">
        <f>IFERROR(IF(VLOOKUP(功能_33[[#This Row],[功能代號]],討論項目!A:H,8,FALSE)=0,"",VLOOKUP(功能_33[[#This Row],[功能代號]],討論項目!A:H,8,FALSE)),"")</f>
        <v/>
      </c>
      <c r="N477" s="308" t="s">
        <v>7</v>
      </c>
      <c r="O477" s="308" t="s">
        <v>25</v>
      </c>
      <c r="T477" s="308"/>
      <c r="V477" s="308"/>
      <c r="W477" s="308"/>
      <c r="X477" s="307" t="str">
        <f>VLOOKUP(功能_33[[#This Row],[User]],SKL放款!A:G,7,FALSE)</f>
        <v>放款管理課</v>
      </c>
      <c r="Y477" s="228">
        <f>IF(功能_33[[#This Row],[實際展示]]="","",功能_33[[#This Row],[實際展示]]+14)</f>
        <v>44531</v>
      </c>
      <c r="Z477" s="226" t="s">
        <v>2809</v>
      </c>
      <c r="AA477" s="226"/>
      <c r="AB477" s="226"/>
      <c r="AC477" s="226"/>
      <c r="AD477" s="226"/>
      <c r="AE477" s="226"/>
      <c r="AF477" s="355"/>
      <c r="AG477" s="226" t="str">
        <f>IFERROR(IF(VLOOKUP(功能_33[[#This Row],[功能代號]],E:Q,11,FALSE)=0,"",VLOOKUP(功能_33[[#This Row],[功能代號]],E:Q,11,FALSE)),"")</f>
        <v>邱怡婷</v>
      </c>
      <c r="AH477" s="226"/>
      <c r="AI477" s="226"/>
      <c r="AJ477" s="307"/>
      <c r="AN477" s="307" t="e">
        <f>VLOOKUP(功能_33[[#This Row],[功能代號]],工作表2!B:B,1,FALSE)</f>
        <v>#N/A</v>
      </c>
    </row>
    <row r="478" spans="1:40" ht="14.25" hidden="1" customHeight="1">
      <c r="A478" s="224"/>
      <c r="B47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07" t="s">
        <v>107</v>
      </c>
      <c r="D478" s="295" t="s">
        <v>1148</v>
      </c>
      <c r="E478" s="308" t="s">
        <v>1313</v>
      </c>
      <c r="F478" s="307" t="s">
        <v>1314</v>
      </c>
      <c r="G478" s="307" t="s">
        <v>1151</v>
      </c>
      <c r="H478" s="308" t="s">
        <v>147</v>
      </c>
      <c r="I478" s="308" t="s">
        <v>148</v>
      </c>
      <c r="J478" s="287"/>
      <c r="K478" s="226">
        <v>44515</v>
      </c>
      <c r="L478" s="226">
        <v>44517</v>
      </c>
      <c r="M478" s="226" t="str">
        <f>IFERROR(IF(VLOOKUP(功能_33[[#This Row],[功能代號]],討論項目!A:H,8,FALSE)=0,"",VLOOKUP(功能_33[[#This Row],[功能代號]],討論項目!A:H,8,FALSE)),"")</f>
        <v/>
      </c>
      <c r="N478" s="308" t="s">
        <v>7</v>
      </c>
      <c r="O478" s="308" t="s">
        <v>25</v>
      </c>
      <c r="T478" s="308"/>
      <c r="V478" s="308"/>
      <c r="W478" s="308"/>
      <c r="X478" s="307" t="str">
        <f>VLOOKUP(功能_33[[#This Row],[User]],SKL放款!A:G,7,FALSE)</f>
        <v>放款管理課</v>
      </c>
      <c r="Y478" s="228">
        <f>IF(功能_33[[#This Row],[實際展示]]="","",功能_33[[#This Row],[實際展示]]+14)</f>
        <v>44531</v>
      </c>
      <c r="Z478" s="226" t="s">
        <v>2809</v>
      </c>
      <c r="AA478" s="226"/>
      <c r="AB478" s="226"/>
      <c r="AC478" s="226"/>
      <c r="AD478" s="226"/>
      <c r="AE478" s="226"/>
      <c r="AF478" s="355"/>
      <c r="AG478" s="226" t="str">
        <f>IFERROR(IF(VLOOKUP(功能_33[[#This Row],[功能代號]],E:Q,11,FALSE)=0,"",VLOOKUP(功能_33[[#This Row],[功能代號]],E:Q,11,FALSE)),"")</f>
        <v>邱怡婷</v>
      </c>
      <c r="AH478" s="226"/>
      <c r="AI478" s="226"/>
      <c r="AJ478" s="307"/>
      <c r="AN478" s="307" t="e">
        <f>VLOOKUP(功能_33[[#This Row],[功能代號]],工作表2!B:B,1,FALSE)</f>
        <v>#N/A</v>
      </c>
    </row>
    <row r="479" spans="1:40" ht="14.25" hidden="1" customHeight="1">
      <c r="A479" s="224"/>
      <c r="B47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07" t="s">
        <v>107</v>
      </c>
      <c r="D479" s="295" t="s">
        <v>1148</v>
      </c>
      <c r="E479" s="308" t="s">
        <v>1315</v>
      </c>
      <c r="F479" s="307" t="s">
        <v>1316</v>
      </c>
      <c r="G479" s="307" t="s">
        <v>1151</v>
      </c>
      <c r="H479" s="308" t="s">
        <v>147</v>
      </c>
      <c r="I479" s="308" t="s">
        <v>148</v>
      </c>
      <c r="J479" s="287"/>
      <c r="K479" s="226">
        <v>44515</v>
      </c>
      <c r="L479" s="226">
        <v>44517</v>
      </c>
      <c r="M479" s="226" t="str">
        <f>IFERROR(IF(VLOOKUP(功能_33[[#This Row],[功能代號]],討論項目!A:H,8,FALSE)=0,"",VLOOKUP(功能_33[[#This Row],[功能代號]],討論項目!A:H,8,FALSE)),"")</f>
        <v/>
      </c>
      <c r="N479" s="308" t="s">
        <v>7</v>
      </c>
      <c r="O479" s="308" t="s">
        <v>25</v>
      </c>
      <c r="T479" s="308"/>
      <c r="V479" s="308"/>
      <c r="W479" s="308"/>
      <c r="X479" s="307" t="str">
        <f>VLOOKUP(功能_33[[#This Row],[User]],SKL放款!A:G,7,FALSE)</f>
        <v>放款管理課</v>
      </c>
      <c r="Y479" s="228">
        <f>IF(功能_33[[#This Row],[實際展示]]="","",功能_33[[#This Row],[實際展示]]+14)</f>
        <v>44531</v>
      </c>
      <c r="Z479" s="226" t="s">
        <v>2809</v>
      </c>
      <c r="AA479" s="226"/>
      <c r="AB479" s="226"/>
      <c r="AC479" s="226"/>
      <c r="AD479" s="226"/>
      <c r="AE479" s="226"/>
      <c r="AF479" s="355"/>
      <c r="AG479" s="226" t="str">
        <f>IFERROR(IF(VLOOKUP(功能_33[[#This Row],[功能代號]],E:Q,11,FALSE)=0,"",VLOOKUP(功能_33[[#This Row],[功能代號]],E:Q,11,FALSE)),"")</f>
        <v>邱怡婷</v>
      </c>
      <c r="AH479" s="226"/>
      <c r="AI479" s="226"/>
      <c r="AJ479" s="307"/>
      <c r="AN479" s="307" t="e">
        <f>VLOOKUP(功能_33[[#This Row],[功能代號]],工作表2!B:B,1,FALSE)</f>
        <v>#N/A</v>
      </c>
    </row>
    <row r="480" spans="1:40" ht="14.25" hidden="1" customHeight="1">
      <c r="A480" s="224"/>
      <c r="B48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07" t="s">
        <v>107</v>
      </c>
      <c r="D480" s="295" t="s">
        <v>1148</v>
      </c>
      <c r="E480" s="308" t="s">
        <v>1317</v>
      </c>
      <c r="F480" s="307" t="s">
        <v>1318</v>
      </c>
      <c r="G480" s="307" t="s">
        <v>1151</v>
      </c>
      <c r="H480" s="308" t="s">
        <v>147</v>
      </c>
      <c r="I480" s="308" t="s">
        <v>148</v>
      </c>
      <c r="J480" s="287"/>
      <c r="K480" s="226">
        <v>44515</v>
      </c>
      <c r="L480" s="226">
        <v>44517</v>
      </c>
      <c r="M480" s="226" t="str">
        <f>IFERROR(IF(VLOOKUP(功能_33[[#This Row],[功能代號]],討論項目!A:H,8,FALSE)=0,"",VLOOKUP(功能_33[[#This Row],[功能代號]],討論項目!A:H,8,FALSE)),"")</f>
        <v/>
      </c>
      <c r="N480" s="308" t="s">
        <v>7</v>
      </c>
      <c r="O480" s="308" t="s">
        <v>25</v>
      </c>
      <c r="T480" s="308"/>
      <c r="V480" s="308"/>
      <c r="W480" s="308"/>
      <c r="X480" s="307" t="str">
        <f>VLOOKUP(功能_33[[#This Row],[User]],SKL放款!A:G,7,FALSE)</f>
        <v>放款管理課</v>
      </c>
      <c r="Y480" s="228">
        <f>IF(功能_33[[#This Row],[實際展示]]="","",功能_33[[#This Row],[實際展示]]+14)</f>
        <v>44531</v>
      </c>
      <c r="Z480" s="226" t="s">
        <v>2809</v>
      </c>
      <c r="AA480" s="226"/>
      <c r="AB480" s="226"/>
      <c r="AC480" s="226"/>
      <c r="AD480" s="226"/>
      <c r="AE480" s="226"/>
      <c r="AF480" s="355"/>
      <c r="AG480" s="226" t="str">
        <f>IFERROR(IF(VLOOKUP(功能_33[[#This Row],[功能代號]],E:Q,11,FALSE)=0,"",VLOOKUP(功能_33[[#This Row],[功能代號]],E:Q,11,FALSE)),"")</f>
        <v>邱怡婷</v>
      </c>
      <c r="AH480" s="226"/>
      <c r="AI480" s="226"/>
      <c r="AJ480" s="307"/>
      <c r="AN480" s="307" t="e">
        <f>VLOOKUP(功能_33[[#This Row],[功能代號]],工作表2!B:B,1,FALSE)</f>
        <v>#N/A</v>
      </c>
    </row>
    <row r="481" spans="1:40" ht="14.25" hidden="1" customHeight="1">
      <c r="A481" s="224"/>
      <c r="B48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07" t="s">
        <v>107</v>
      </c>
      <c r="D481" s="295" t="s">
        <v>1148</v>
      </c>
      <c r="E481" s="308" t="s">
        <v>1319</v>
      </c>
      <c r="F481" s="307" t="s">
        <v>1320</v>
      </c>
      <c r="G481" s="307" t="s">
        <v>1151</v>
      </c>
      <c r="H481" s="308" t="s">
        <v>147</v>
      </c>
      <c r="I481" s="308" t="s">
        <v>148</v>
      </c>
      <c r="J481" s="287"/>
      <c r="K481" s="226">
        <v>44515</v>
      </c>
      <c r="L481" s="226">
        <v>44517</v>
      </c>
      <c r="M481" s="226" t="str">
        <f>IFERROR(IF(VLOOKUP(功能_33[[#This Row],[功能代號]],討論項目!A:H,8,FALSE)=0,"",VLOOKUP(功能_33[[#This Row],[功能代號]],討論項目!A:H,8,FALSE)),"")</f>
        <v/>
      </c>
      <c r="N481" s="308" t="s">
        <v>7</v>
      </c>
      <c r="O481" s="308" t="s">
        <v>25</v>
      </c>
      <c r="T481" s="308"/>
      <c r="V481" s="308"/>
      <c r="W481" s="308"/>
      <c r="X481" s="307" t="str">
        <f>VLOOKUP(功能_33[[#This Row],[User]],SKL放款!A:G,7,FALSE)</f>
        <v>放款管理課</v>
      </c>
      <c r="Y481" s="228">
        <f>IF(功能_33[[#This Row],[實際展示]]="","",功能_33[[#This Row],[實際展示]]+14)</f>
        <v>44531</v>
      </c>
      <c r="Z481" s="226" t="s">
        <v>2809</v>
      </c>
      <c r="AA481" s="226"/>
      <c r="AB481" s="226"/>
      <c r="AC481" s="226"/>
      <c r="AD481" s="226"/>
      <c r="AE481" s="226"/>
      <c r="AF481" s="355"/>
      <c r="AG481" s="226" t="str">
        <f>IFERROR(IF(VLOOKUP(功能_33[[#This Row],[功能代號]],E:Q,11,FALSE)=0,"",VLOOKUP(功能_33[[#This Row],[功能代號]],E:Q,11,FALSE)),"")</f>
        <v>邱怡婷</v>
      </c>
      <c r="AH481" s="226"/>
      <c r="AI481" s="226"/>
      <c r="AJ481" s="307"/>
      <c r="AN481" s="307" t="e">
        <f>VLOOKUP(功能_33[[#This Row],[功能代號]],工作表2!B:B,1,FALSE)</f>
        <v>#N/A</v>
      </c>
    </row>
    <row r="482" spans="1:40" ht="14.25" hidden="1" customHeight="1">
      <c r="A482" s="224"/>
      <c r="B48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07" t="s">
        <v>107</v>
      </c>
      <c r="D482" s="295" t="s">
        <v>1148</v>
      </c>
      <c r="E482" s="308" t="s">
        <v>1321</v>
      </c>
      <c r="F482" s="307" t="s">
        <v>1322</v>
      </c>
      <c r="G482" s="307" t="s">
        <v>1151</v>
      </c>
      <c r="H482" s="308" t="s">
        <v>147</v>
      </c>
      <c r="I482" s="308" t="s">
        <v>148</v>
      </c>
      <c r="J482" s="287"/>
      <c r="K482" s="226">
        <v>44516</v>
      </c>
      <c r="L482" s="226">
        <v>44517</v>
      </c>
      <c r="M482" s="226" t="str">
        <f>IFERROR(IF(VLOOKUP(功能_33[[#This Row],[功能代號]],討論項目!A:H,8,FALSE)=0,"",VLOOKUP(功能_33[[#This Row],[功能代號]],討論項目!A:H,8,FALSE)),"")</f>
        <v/>
      </c>
      <c r="N482" s="308" t="s">
        <v>7</v>
      </c>
      <c r="O482" s="308" t="s">
        <v>25</v>
      </c>
      <c r="T482" s="308"/>
      <c r="V482" s="308"/>
      <c r="W482" s="308"/>
      <c r="X482" s="307" t="str">
        <f>VLOOKUP(功能_33[[#This Row],[User]],SKL放款!A:G,7,FALSE)</f>
        <v>放款管理課</v>
      </c>
      <c r="Y482" s="228">
        <f>IF(功能_33[[#This Row],[實際展示]]="","",功能_33[[#This Row],[實際展示]]+14)</f>
        <v>44531</v>
      </c>
      <c r="Z482" s="226" t="s">
        <v>2809</v>
      </c>
      <c r="AA482" s="226"/>
      <c r="AB482" s="226"/>
      <c r="AC482" s="226"/>
      <c r="AD482" s="226"/>
      <c r="AE482" s="226"/>
      <c r="AF482" s="355"/>
      <c r="AG482" s="226" t="str">
        <f>IFERROR(IF(VLOOKUP(功能_33[[#This Row],[功能代號]],E:Q,11,FALSE)=0,"",VLOOKUP(功能_33[[#This Row],[功能代號]],E:Q,11,FALSE)),"")</f>
        <v>邱怡婷</v>
      </c>
      <c r="AH482" s="226"/>
      <c r="AI482" s="226"/>
      <c r="AJ482" s="307"/>
      <c r="AN482" s="307" t="e">
        <f>VLOOKUP(功能_33[[#This Row],[功能代號]],工作表2!B:B,1,FALSE)</f>
        <v>#N/A</v>
      </c>
    </row>
    <row r="483" spans="1:40" ht="14.25" hidden="1" customHeight="1">
      <c r="A483" s="224"/>
      <c r="B48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07" t="s">
        <v>107</v>
      </c>
      <c r="D483" s="295" t="s">
        <v>1148</v>
      </c>
      <c r="E483" s="308" t="s">
        <v>1323</v>
      </c>
      <c r="F483" s="307" t="s">
        <v>1324</v>
      </c>
      <c r="G483" s="307" t="s">
        <v>1151</v>
      </c>
      <c r="H483" s="308" t="s">
        <v>147</v>
      </c>
      <c r="I483" s="308" t="s">
        <v>148</v>
      </c>
      <c r="J483" s="287"/>
      <c r="K483" s="226">
        <v>44516</v>
      </c>
      <c r="L483" s="226">
        <v>44517</v>
      </c>
      <c r="M483" s="226" t="str">
        <f>IFERROR(IF(VLOOKUP(功能_33[[#This Row],[功能代號]],討論項目!A:H,8,FALSE)=0,"",VLOOKUP(功能_33[[#This Row],[功能代號]],討論項目!A:H,8,FALSE)),"")</f>
        <v/>
      </c>
      <c r="N483" s="308" t="s">
        <v>7</v>
      </c>
      <c r="O483" s="308" t="s">
        <v>25</v>
      </c>
      <c r="T483" s="308"/>
      <c r="V483" s="308"/>
      <c r="W483" s="308"/>
      <c r="X483" s="307" t="str">
        <f>VLOOKUP(功能_33[[#This Row],[User]],SKL放款!A:G,7,FALSE)</f>
        <v>放款管理課</v>
      </c>
      <c r="Y483" s="228">
        <f>IF(功能_33[[#This Row],[實際展示]]="","",功能_33[[#This Row],[實際展示]]+14)</f>
        <v>44531</v>
      </c>
      <c r="Z483" s="226" t="s">
        <v>2809</v>
      </c>
      <c r="AA483" s="226"/>
      <c r="AB483" s="226"/>
      <c r="AC483" s="226"/>
      <c r="AD483" s="226"/>
      <c r="AE483" s="226"/>
      <c r="AF483" s="355"/>
      <c r="AG483" s="226" t="str">
        <f>IFERROR(IF(VLOOKUP(功能_33[[#This Row],[功能代號]],E:Q,11,FALSE)=0,"",VLOOKUP(功能_33[[#This Row],[功能代號]],E:Q,11,FALSE)),"")</f>
        <v>邱怡婷</v>
      </c>
      <c r="AH483" s="226"/>
      <c r="AI483" s="226"/>
      <c r="AJ483" s="307"/>
      <c r="AN483" s="307" t="e">
        <f>VLOOKUP(功能_33[[#This Row],[功能代號]],工作表2!B:B,1,FALSE)</f>
        <v>#N/A</v>
      </c>
    </row>
    <row r="484" spans="1:40" ht="14.25" hidden="1" customHeight="1">
      <c r="A484" s="224"/>
      <c r="B48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07" t="s">
        <v>107</v>
      </c>
      <c r="D484" s="295" t="s">
        <v>1148</v>
      </c>
      <c r="E484" s="308" t="s">
        <v>1325</v>
      </c>
      <c r="F484" s="307" t="s">
        <v>1326</v>
      </c>
      <c r="G484" s="307" t="s">
        <v>1151</v>
      </c>
      <c r="H484" s="308" t="s">
        <v>147</v>
      </c>
      <c r="I484" s="308" t="s">
        <v>148</v>
      </c>
      <c r="J484" s="287"/>
      <c r="K484" s="226">
        <v>44516</v>
      </c>
      <c r="L484" s="226">
        <v>44517</v>
      </c>
      <c r="M484" s="226" t="str">
        <f>IFERROR(IF(VLOOKUP(功能_33[[#This Row],[功能代號]],討論項目!A:H,8,FALSE)=0,"",VLOOKUP(功能_33[[#This Row],[功能代號]],討論項目!A:H,8,FALSE)),"")</f>
        <v/>
      </c>
      <c r="N484" s="308" t="s">
        <v>7</v>
      </c>
      <c r="O484" s="308" t="s">
        <v>25</v>
      </c>
      <c r="T484" s="308"/>
      <c r="V484" s="308"/>
      <c r="W484" s="308"/>
      <c r="X484" s="307" t="str">
        <f>VLOOKUP(功能_33[[#This Row],[User]],SKL放款!A:G,7,FALSE)</f>
        <v>放款管理課</v>
      </c>
      <c r="Y484" s="228">
        <f>IF(功能_33[[#This Row],[實際展示]]="","",功能_33[[#This Row],[實際展示]]+14)</f>
        <v>44531</v>
      </c>
      <c r="Z484" s="226" t="s">
        <v>2809</v>
      </c>
      <c r="AA484" s="226"/>
      <c r="AB484" s="226"/>
      <c r="AC484" s="226"/>
      <c r="AD484" s="226"/>
      <c r="AE484" s="226"/>
      <c r="AF484" s="355"/>
      <c r="AG484" s="226" t="str">
        <f>IFERROR(IF(VLOOKUP(功能_33[[#This Row],[功能代號]],E:Q,11,FALSE)=0,"",VLOOKUP(功能_33[[#This Row],[功能代號]],E:Q,11,FALSE)),"")</f>
        <v>邱怡婷</v>
      </c>
      <c r="AH484" s="226"/>
      <c r="AI484" s="226"/>
      <c r="AJ484" s="307"/>
      <c r="AN484" s="307" t="e">
        <f>VLOOKUP(功能_33[[#This Row],[功能代號]],工作表2!B:B,1,FALSE)</f>
        <v>#N/A</v>
      </c>
    </row>
    <row r="485" spans="1:40" ht="14.25" hidden="1" customHeight="1">
      <c r="A485" s="224"/>
      <c r="B48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07" t="s">
        <v>107</v>
      </c>
      <c r="D485" s="295" t="s">
        <v>1148</v>
      </c>
      <c r="E485" s="308" t="s">
        <v>1327</v>
      </c>
      <c r="F485" s="307" t="s">
        <v>1328</v>
      </c>
      <c r="G485" s="307" t="s">
        <v>1151</v>
      </c>
      <c r="H485" s="308" t="s">
        <v>147</v>
      </c>
      <c r="I485" s="308" t="s">
        <v>148</v>
      </c>
      <c r="J485" s="287"/>
      <c r="K485" s="226">
        <v>44516</v>
      </c>
      <c r="L485" s="226">
        <v>44517</v>
      </c>
      <c r="M485" s="226" t="str">
        <f>IFERROR(IF(VLOOKUP(功能_33[[#This Row],[功能代號]],討論項目!A:H,8,FALSE)=0,"",VLOOKUP(功能_33[[#This Row],[功能代號]],討論項目!A:H,8,FALSE)),"")</f>
        <v/>
      </c>
      <c r="N485" s="308" t="s">
        <v>7</v>
      </c>
      <c r="O485" s="308" t="s">
        <v>25</v>
      </c>
      <c r="T485" s="308"/>
      <c r="V485" s="308"/>
      <c r="W485" s="308"/>
      <c r="X485" s="307" t="str">
        <f>VLOOKUP(功能_33[[#This Row],[User]],SKL放款!A:G,7,FALSE)</f>
        <v>放款管理課</v>
      </c>
      <c r="Y485" s="228">
        <f>IF(功能_33[[#This Row],[實際展示]]="","",功能_33[[#This Row],[實際展示]]+14)</f>
        <v>44531</v>
      </c>
      <c r="Z485" s="226" t="s">
        <v>2809</v>
      </c>
      <c r="AA485" s="226"/>
      <c r="AB485" s="226"/>
      <c r="AC485" s="226"/>
      <c r="AD485" s="226"/>
      <c r="AE485" s="226"/>
      <c r="AF485" s="355"/>
      <c r="AG485" s="226" t="str">
        <f>IFERROR(IF(VLOOKUP(功能_33[[#This Row],[功能代號]],E:Q,11,FALSE)=0,"",VLOOKUP(功能_33[[#This Row],[功能代號]],E:Q,11,FALSE)),"")</f>
        <v>邱怡婷</v>
      </c>
      <c r="AH485" s="226"/>
      <c r="AI485" s="226"/>
      <c r="AJ485" s="307"/>
      <c r="AN485" s="307" t="e">
        <f>VLOOKUP(功能_33[[#This Row],[功能代號]],工作表2!B:B,1,FALSE)</f>
        <v>#N/A</v>
      </c>
    </row>
    <row r="486" spans="1:40" ht="14.25" hidden="1" customHeight="1">
      <c r="A486" s="224"/>
      <c r="B48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07" t="s">
        <v>107</v>
      </c>
      <c r="D486" s="295" t="s">
        <v>1148</v>
      </c>
      <c r="E486" s="308" t="s">
        <v>1329</v>
      </c>
      <c r="F486" s="307" t="s">
        <v>1330</v>
      </c>
      <c r="G486" s="307" t="s">
        <v>1151</v>
      </c>
      <c r="H486" s="308" t="s">
        <v>147</v>
      </c>
      <c r="I486" s="308" t="s">
        <v>148</v>
      </c>
      <c r="J486" s="287"/>
      <c r="K486" s="226">
        <v>44516</v>
      </c>
      <c r="L486" s="226">
        <v>44517</v>
      </c>
      <c r="M486" s="226" t="str">
        <f>IFERROR(IF(VLOOKUP(功能_33[[#This Row],[功能代號]],討論項目!A:H,8,FALSE)=0,"",VLOOKUP(功能_33[[#This Row],[功能代號]],討論項目!A:H,8,FALSE)),"")</f>
        <v/>
      </c>
      <c r="N486" s="308" t="s">
        <v>7</v>
      </c>
      <c r="O486" s="308" t="s">
        <v>25</v>
      </c>
      <c r="T486" s="308"/>
      <c r="V486" s="308"/>
      <c r="W486" s="308"/>
      <c r="X486" s="307" t="str">
        <f>VLOOKUP(功能_33[[#This Row],[User]],SKL放款!A:G,7,FALSE)</f>
        <v>放款管理課</v>
      </c>
      <c r="Y486" s="228">
        <f>IF(功能_33[[#This Row],[實際展示]]="","",功能_33[[#This Row],[實際展示]]+14)</f>
        <v>44531</v>
      </c>
      <c r="Z486" s="226" t="s">
        <v>2809</v>
      </c>
      <c r="AA486" s="226"/>
      <c r="AB486" s="226"/>
      <c r="AC486" s="226"/>
      <c r="AD486" s="226"/>
      <c r="AE486" s="226"/>
      <c r="AF486" s="355"/>
      <c r="AG486" s="226" t="str">
        <f>IFERROR(IF(VLOOKUP(功能_33[[#This Row],[功能代號]],E:Q,11,FALSE)=0,"",VLOOKUP(功能_33[[#This Row],[功能代號]],E:Q,11,FALSE)),"")</f>
        <v>邱怡婷</v>
      </c>
      <c r="AH486" s="226"/>
      <c r="AI486" s="226"/>
      <c r="AJ486" s="307"/>
      <c r="AN486" s="307" t="e">
        <f>VLOOKUP(功能_33[[#This Row],[功能代號]],工作表2!B:B,1,FALSE)</f>
        <v>#N/A</v>
      </c>
    </row>
    <row r="487" spans="1:40" ht="14.25" hidden="1" customHeight="1">
      <c r="A487" s="224"/>
      <c r="B48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07" t="s">
        <v>107</v>
      </c>
      <c r="D487" s="295" t="s">
        <v>1148</v>
      </c>
      <c r="E487" s="308" t="s">
        <v>1331</v>
      </c>
      <c r="F487" s="307" t="s">
        <v>1332</v>
      </c>
      <c r="G487" s="307" t="s">
        <v>1151</v>
      </c>
      <c r="H487" s="308" t="s">
        <v>147</v>
      </c>
      <c r="I487" s="308" t="s">
        <v>148</v>
      </c>
      <c r="J487" s="287"/>
      <c r="K487" s="226">
        <v>44516</v>
      </c>
      <c r="L487" s="226">
        <v>44517</v>
      </c>
      <c r="M487" s="226" t="str">
        <f>IFERROR(IF(VLOOKUP(功能_33[[#This Row],[功能代號]],討論項目!A:H,8,FALSE)=0,"",VLOOKUP(功能_33[[#This Row],[功能代號]],討論項目!A:H,8,FALSE)),"")</f>
        <v/>
      </c>
      <c r="N487" s="308" t="s">
        <v>7</v>
      </c>
      <c r="O487" s="308" t="s">
        <v>25</v>
      </c>
      <c r="T487" s="308"/>
      <c r="V487" s="308"/>
      <c r="W487" s="308"/>
      <c r="X487" s="307" t="str">
        <f>VLOOKUP(功能_33[[#This Row],[User]],SKL放款!A:G,7,FALSE)</f>
        <v>放款管理課</v>
      </c>
      <c r="Y487" s="228">
        <f>IF(功能_33[[#This Row],[實際展示]]="","",功能_33[[#This Row],[實際展示]]+14)</f>
        <v>44531</v>
      </c>
      <c r="Z487" s="226" t="s">
        <v>2809</v>
      </c>
      <c r="AA487" s="226"/>
      <c r="AB487" s="226"/>
      <c r="AC487" s="226"/>
      <c r="AD487" s="226"/>
      <c r="AE487" s="226"/>
      <c r="AF487" s="355"/>
      <c r="AG487" s="226" t="str">
        <f>IFERROR(IF(VLOOKUP(功能_33[[#This Row],[功能代號]],E:Q,11,FALSE)=0,"",VLOOKUP(功能_33[[#This Row],[功能代號]],E:Q,11,FALSE)),"")</f>
        <v>邱怡婷</v>
      </c>
      <c r="AH487" s="226"/>
      <c r="AI487" s="226"/>
      <c r="AJ487" s="307"/>
      <c r="AN487" s="307" t="e">
        <f>VLOOKUP(功能_33[[#This Row],[功能代號]],工作表2!B:B,1,FALSE)</f>
        <v>#N/A</v>
      </c>
    </row>
    <row r="488" spans="1:40" ht="14.25" hidden="1" customHeight="1">
      <c r="A488" s="224"/>
      <c r="B48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07" t="s">
        <v>107</v>
      </c>
      <c r="D488" s="295" t="s">
        <v>1148</v>
      </c>
      <c r="E488" s="308" t="s">
        <v>1333</v>
      </c>
      <c r="F488" s="307" t="s">
        <v>1334</v>
      </c>
      <c r="G488" s="307" t="s">
        <v>1151</v>
      </c>
      <c r="H488" s="308" t="s">
        <v>147</v>
      </c>
      <c r="I488" s="308" t="s">
        <v>148</v>
      </c>
      <c r="J488" s="287"/>
      <c r="K488" s="226">
        <v>44516</v>
      </c>
      <c r="L488" s="226">
        <v>44517</v>
      </c>
      <c r="M488" s="226" t="str">
        <f>IFERROR(IF(VLOOKUP(功能_33[[#This Row],[功能代號]],討論項目!A:H,8,FALSE)=0,"",VLOOKUP(功能_33[[#This Row],[功能代號]],討論項目!A:H,8,FALSE)),"")</f>
        <v/>
      </c>
      <c r="N488" s="308" t="s">
        <v>7</v>
      </c>
      <c r="O488" s="308" t="s">
        <v>25</v>
      </c>
      <c r="T488" s="308"/>
      <c r="V488" s="308"/>
      <c r="W488" s="308"/>
      <c r="X488" s="307" t="str">
        <f>VLOOKUP(功能_33[[#This Row],[User]],SKL放款!A:G,7,FALSE)</f>
        <v>放款管理課</v>
      </c>
      <c r="Y488" s="228">
        <f>IF(功能_33[[#This Row],[實際展示]]="","",功能_33[[#This Row],[實際展示]]+14)</f>
        <v>44531</v>
      </c>
      <c r="Z488" s="226" t="s">
        <v>2809</v>
      </c>
      <c r="AA488" s="226"/>
      <c r="AB488" s="226"/>
      <c r="AC488" s="226"/>
      <c r="AD488" s="226"/>
      <c r="AE488" s="226"/>
      <c r="AF488" s="355"/>
      <c r="AG488" s="226" t="str">
        <f>IFERROR(IF(VLOOKUP(功能_33[[#This Row],[功能代號]],E:Q,11,FALSE)=0,"",VLOOKUP(功能_33[[#This Row],[功能代號]],E:Q,11,FALSE)),"")</f>
        <v>邱怡婷</v>
      </c>
      <c r="AH488" s="226"/>
      <c r="AI488" s="226"/>
      <c r="AJ488" s="307"/>
      <c r="AN488" s="307" t="e">
        <f>VLOOKUP(功能_33[[#This Row],[功能代號]],工作表2!B:B,1,FALSE)</f>
        <v>#N/A</v>
      </c>
    </row>
    <row r="489" spans="1:40" ht="14.25" hidden="1" customHeight="1">
      <c r="A489" s="224"/>
      <c r="B48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07" t="s">
        <v>107</v>
      </c>
      <c r="D489" s="295" t="s">
        <v>1148</v>
      </c>
      <c r="E489" s="308" t="s">
        <v>1335</v>
      </c>
      <c r="F489" s="307" t="s">
        <v>1336</v>
      </c>
      <c r="G489" s="307" t="s">
        <v>1151</v>
      </c>
      <c r="H489" s="308" t="s">
        <v>147</v>
      </c>
      <c r="I489" s="308" t="s">
        <v>148</v>
      </c>
      <c r="J489" s="287"/>
      <c r="K489" s="226">
        <v>44517</v>
      </c>
      <c r="L489" s="226">
        <v>44517</v>
      </c>
      <c r="M489" s="226" t="str">
        <f>IFERROR(IF(VLOOKUP(功能_33[[#This Row],[功能代號]],討論項目!A:H,8,FALSE)=0,"",VLOOKUP(功能_33[[#This Row],[功能代號]],討論項目!A:H,8,FALSE)),"")</f>
        <v/>
      </c>
      <c r="N489" s="308" t="s">
        <v>7</v>
      </c>
      <c r="O489" s="308" t="s">
        <v>25</v>
      </c>
      <c r="T489" s="308"/>
      <c r="V489" s="308"/>
      <c r="W489" s="308"/>
      <c r="X489" s="307" t="str">
        <f>VLOOKUP(功能_33[[#This Row],[User]],SKL放款!A:G,7,FALSE)</f>
        <v>放款管理課</v>
      </c>
      <c r="Y489" s="228">
        <f>IF(功能_33[[#This Row],[實際展示]]="","",功能_33[[#This Row],[實際展示]]+14)</f>
        <v>44531</v>
      </c>
      <c r="Z489" s="226" t="s">
        <v>2809</v>
      </c>
      <c r="AA489" s="226"/>
      <c r="AB489" s="226"/>
      <c r="AC489" s="226"/>
      <c r="AD489" s="226"/>
      <c r="AE489" s="226"/>
      <c r="AF489" s="355"/>
      <c r="AG489" s="226" t="str">
        <f>IFERROR(IF(VLOOKUP(功能_33[[#This Row],[功能代號]],E:Q,11,FALSE)=0,"",VLOOKUP(功能_33[[#This Row],[功能代號]],E:Q,11,FALSE)),"")</f>
        <v>邱怡婷</v>
      </c>
      <c r="AH489" s="226"/>
      <c r="AI489" s="226"/>
      <c r="AJ489" s="307"/>
      <c r="AN489" s="307" t="e">
        <f>VLOOKUP(功能_33[[#This Row],[功能代號]],工作表2!B:B,1,FALSE)</f>
        <v>#N/A</v>
      </c>
    </row>
    <row r="490" spans="1:40" ht="14.25" hidden="1" customHeight="1">
      <c r="A490" s="224"/>
      <c r="B49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07" t="s">
        <v>107</v>
      </c>
      <c r="D490" s="295" t="s">
        <v>1148</v>
      </c>
      <c r="E490" s="308" t="s">
        <v>1337</v>
      </c>
      <c r="F490" s="307" t="s">
        <v>1338</v>
      </c>
      <c r="G490" s="307" t="s">
        <v>1151</v>
      </c>
      <c r="H490" s="308" t="s">
        <v>147</v>
      </c>
      <c r="I490" s="308" t="s">
        <v>148</v>
      </c>
      <c r="J490" s="287"/>
      <c r="K490" s="226">
        <v>44517</v>
      </c>
      <c r="L490" s="226">
        <v>44517</v>
      </c>
      <c r="M490" s="226" t="str">
        <f>IFERROR(IF(VLOOKUP(功能_33[[#This Row],[功能代號]],討論項目!A:H,8,FALSE)=0,"",VLOOKUP(功能_33[[#This Row],[功能代號]],討論項目!A:H,8,FALSE)),"")</f>
        <v/>
      </c>
      <c r="N490" s="308" t="s">
        <v>7</v>
      </c>
      <c r="O490" s="308" t="s">
        <v>25</v>
      </c>
      <c r="T490" s="308"/>
      <c r="V490" s="308"/>
      <c r="W490" s="308"/>
      <c r="X490" s="307" t="str">
        <f>VLOOKUP(功能_33[[#This Row],[User]],SKL放款!A:G,7,FALSE)</f>
        <v>放款管理課</v>
      </c>
      <c r="Y490" s="228">
        <f>IF(功能_33[[#This Row],[實際展示]]="","",功能_33[[#This Row],[實際展示]]+14)</f>
        <v>44531</v>
      </c>
      <c r="Z490" s="226" t="s">
        <v>2809</v>
      </c>
      <c r="AA490" s="226"/>
      <c r="AB490" s="226"/>
      <c r="AC490" s="226"/>
      <c r="AD490" s="226"/>
      <c r="AE490" s="226"/>
      <c r="AF490" s="355"/>
      <c r="AG490" s="226" t="str">
        <f>IFERROR(IF(VLOOKUP(功能_33[[#This Row],[功能代號]],E:Q,11,FALSE)=0,"",VLOOKUP(功能_33[[#This Row],[功能代號]],E:Q,11,FALSE)),"")</f>
        <v>邱怡婷</v>
      </c>
      <c r="AH490" s="226"/>
      <c r="AI490" s="226"/>
      <c r="AJ490" s="307"/>
      <c r="AN490" s="307" t="e">
        <f>VLOOKUP(功能_33[[#This Row],[功能代號]],工作表2!B:B,1,FALSE)</f>
        <v>#N/A</v>
      </c>
    </row>
    <row r="491" spans="1:40" ht="14.25" hidden="1" customHeight="1">
      <c r="A491" s="224"/>
      <c r="B49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07" t="s">
        <v>107</v>
      </c>
      <c r="D491" s="295" t="s">
        <v>1148</v>
      </c>
      <c r="E491" s="308" t="s">
        <v>1339</v>
      </c>
      <c r="F491" s="307" t="s">
        <v>1340</v>
      </c>
      <c r="G491" s="307" t="s">
        <v>1151</v>
      </c>
      <c r="H491" s="308" t="s">
        <v>147</v>
      </c>
      <c r="I491" s="308" t="s">
        <v>148</v>
      </c>
      <c r="J491" s="287"/>
      <c r="K491" s="226">
        <v>44517</v>
      </c>
      <c r="L491" s="226">
        <v>44517</v>
      </c>
      <c r="M491" s="226" t="str">
        <f>IFERROR(IF(VLOOKUP(功能_33[[#This Row],[功能代號]],討論項目!A:H,8,FALSE)=0,"",VLOOKUP(功能_33[[#This Row],[功能代號]],討論項目!A:H,8,FALSE)),"")</f>
        <v/>
      </c>
      <c r="N491" s="308" t="s">
        <v>7</v>
      </c>
      <c r="O491" s="308" t="s">
        <v>25</v>
      </c>
      <c r="T491" s="308"/>
      <c r="V491" s="308"/>
      <c r="W491" s="308"/>
      <c r="X491" s="307" t="str">
        <f>VLOOKUP(功能_33[[#This Row],[User]],SKL放款!A:G,7,FALSE)</f>
        <v>放款管理課</v>
      </c>
      <c r="Y491" s="228">
        <f>IF(功能_33[[#This Row],[實際展示]]="","",功能_33[[#This Row],[實際展示]]+14)</f>
        <v>44531</v>
      </c>
      <c r="Z491" s="226" t="s">
        <v>2809</v>
      </c>
      <c r="AA491" s="226"/>
      <c r="AB491" s="226"/>
      <c r="AC491" s="226"/>
      <c r="AD491" s="226"/>
      <c r="AE491" s="226"/>
      <c r="AF491" s="355"/>
      <c r="AG491" s="226" t="str">
        <f>IFERROR(IF(VLOOKUP(功能_33[[#This Row],[功能代號]],E:Q,11,FALSE)=0,"",VLOOKUP(功能_33[[#This Row],[功能代號]],E:Q,11,FALSE)),"")</f>
        <v>邱怡婷</v>
      </c>
      <c r="AH491" s="226"/>
      <c r="AI491" s="226"/>
      <c r="AJ491" s="307"/>
      <c r="AN491" s="307" t="e">
        <f>VLOOKUP(功能_33[[#This Row],[功能代號]],工作表2!B:B,1,FALSE)</f>
        <v>#N/A</v>
      </c>
    </row>
    <row r="492" spans="1:40" ht="14.25" hidden="1" customHeight="1">
      <c r="A492" s="224"/>
      <c r="B49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07" t="s">
        <v>107</v>
      </c>
      <c r="D492" s="295" t="s">
        <v>1148</v>
      </c>
      <c r="E492" s="308" t="s">
        <v>1341</v>
      </c>
      <c r="F492" s="307" t="s">
        <v>1342</v>
      </c>
      <c r="G492" s="307" t="s">
        <v>1151</v>
      </c>
      <c r="H492" s="308" t="s">
        <v>147</v>
      </c>
      <c r="I492" s="308" t="s">
        <v>148</v>
      </c>
      <c r="J492" s="287"/>
      <c r="K492" s="226">
        <v>44517</v>
      </c>
      <c r="L492" s="226">
        <v>44517</v>
      </c>
      <c r="M492" s="226" t="str">
        <f>IFERROR(IF(VLOOKUP(功能_33[[#This Row],[功能代號]],討論項目!A:H,8,FALSE)=0,"",VLOOKUP(功能_33[[#This Row],[功能代號]],討論項目!A:H,8,FALSE)),"")</f>
        <v/>
      </c>
      <c r="N492" s="308" t="s">
        <v>7</v>
      </c>
      <c r="O492" s="308" t="s">
        <v>25</v>
      </c>
      <c r="T492" s="308"/>
      <c r="V492" s="308"/>
      <c r="W492" s="308"/>
      <c r="X492" s="307" t="str">
        <f>VLOOKUP(功能_33[[#This Row],[User]],SKL放款!A:G,7,FALSE)</f>
        <v>放款管理課</v>
      </c>
      <c r="Y492" s="228">
        <f>IF(功能_33[[#This Row],[實際展示]]="","",功能_33[[#This Row],[實際展示]]+14)</f>
        <v>44531</v>
      </c>
      <c r="Z492" s="226" t="s">
        <v>2809</v>
      </c>
      <c r="AA492" s="226"/>
      <c r="AB492" s="226"/>
      <c r="AC492" s="226"/>
      <c r="AD492" s="226"/>
      <c r="AE492" s="226"/>
      <c r="AF492" s="355"/>
      <c r="AG492" s="226" t="str">
        <f>IFERROR(IF(VLOOKUP(功能_33[[#This Row],[功能代號]],E:Q,11,FALSE)=0,"",VLOOKUP(功能_33[[#This Row],[功能代號]],E:Q,11,FALSE)),"")</f>
        <v>邱怡婷</v>
      </c>
      <c r="AH492" s="226"/>
      <c r="AI492" s="226"/>
      <c r="AJ492" s="307"/>
      <c r="AN492" s="307" t="e">
        <f>VLOOKUP(功能_33[[#This Row],[功能代號]],工作表2!B:B,1,FALSE)</f>
        <v>#N/A</v>
      </c>
    </row>
    <row r="493" spans="1:40" ht="14.25" hidden="1" customHeight="1">
      <c r="A493" s="224"/>
      <c r="B49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07" t="s">
        <v>107</v>
      </c>
      <c r="D493" s="295" t="s">
        <v>1148</v>
      </c>
      <c r="E493" s="308" t="s">
        <v>1343</v>
      </c>
      <c r="F493" s="307" t="s">
        <v>1344</v>
      </c>
      <c r="G493" s="307" t="s">
        <v>1151</v>
      </c>
      <c r="H493" s="308" t="s">
        <v>147</v>
      </c>
      <c r="I493" s="308" t="s">
        <v>148</v>
      </c>
      <c r="J493" s="287"/>
      <c r="K493" s="226">
        <v>44518</v>
      </c>
      <c r="L493" s="226">
        <v>44517</v>
      </c>
      <c r="M493" s="226" t="str">
        <f>IFERROR(IF(VLOOKUP(功能_33[[#This Row],[功能代號]],討論項目!A:H,8,FALSE)=0,"",VLOOKUP(功能_33[[#This Row],[功能代號]],討論項目!A:H,8,FALSE)),"")</f>
        <v/>
      </c>
      <c r="N493" s="308" t="s">
        <v>7</v>
      </c>
      <c r="O493" s="308" t="s">
        <v>25</v>
      </c>
      <c r="T493" s="308"/>
      <c r="V493" s="308"/>
      <c r="W493" s="308"/>
      <c r="X493" s="307" t="str">
        <f>VLOOKUP(功能_33[[#This Row],[User]],SKL放款!A:G,7,FALSE)</f>
        <v>放款管理課</v>
      </c>
      <c r="Y493" s="228">
        <f>IF(功能_33[[#This Row],[實際展示]]="","",功能_33[[#This Row],[實際展示]]+14)</f>
        <v>44531</v>
      </c>
      <c r="Z493" s="226" t="s">
        <v>2809</v>
      </c>
      <c r="AA493" s="226"/>
      <c r="AB493" s="226"/>
      <c r="AC493" s="226"/>
      <c r="AD493" s="226"/>
      <c r="AE493" s="226"/>
      <c r="AF493" s="355"/>
      <c r="AG493" s="226" t="str">
        <f>IFERROR(IF(VLOOKUP(功能_33[[#This Row],[功能代號]],E:Q,11,FALSE)=0,"",VLOOKUP(功能_33[[#This Row],[功能代號]],E:Q,11,FALSE)),"")</f>
        <v>邱怡婷</v>
      </c>
      <c r="AH493" s="226"/>
      <c r="AI493" s="226"/>
      <c r="AJ493" s="307"/>
      <c r="AN493" s="307" t="e">
        <f>VLOOKUP(功能_33[[#This Row],[功能代號]],工作表2!B:B,1,FALSE)</f>
        <v>#N/A</v>
      </c>
    </row>
    <row r="494" spans="1:40" ht="14.25" hidden="1" customHeight="1">
      <c r="A494" s="224"/>
      <c r="B49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07" t="s">
        <v>107</v>
      </c>
      <c r="D494" s="295" t="s">
        <v>1148</v>
      </c>
      <c r="E494" s="308" t="s">
        <v>1345</v>
      </c>
      <c r="F494" s="307" t="s">
        <v>1346</v>
      </c>
      <c r="G494" s="307" t="s">
        <v>1151</v>
      </c>
      <c r="H494" s="308" t="s">
        <v>147</v>
      </c>
      <c r="I494" s="308" t="s">
        <v>148</v>
      </c>
      <c r="J494" s="287"/>
      <c r="K494" s="226">
        <v>44518</v>
      </c>
      <c r="L494" s="226">
        <v>44517</v>
      </c>
      <c r="M494" s="226" t="str">
        <f>IFERROR(IF(VLOOKUP(功能_33[[#This Row],[功能代號]],討論項目!A:H,8,FALSE)=0,"",VLOOKUP(功能_33[[#This Row],[功能代號]],討論項目!A:H,8,FALSE)),"")</f>
        <v/>
      </c>
      <c r="N494" s="308" t="s">
        <v>7</v>
      </c>
      <c r="O494" s="308" t="s">
        <v>25</v>
      </c>
      <c r="T494" s="308"/>
      <c r="V494" s="308"/>
      <c r="W494" s="308"/>
      <c r="X494" s="307" t="str">
        <f>VLOOKUP(功能_33[[#This Row],[User]],SKL放款!A:G,7,FALSE)</f>
        <v>放款管理課</v>
      </c>
      <c r="Y494" s="228">
        <f>IF(功能_33[[#This Row],[實際展示]]="","",功能_33[[#This Row],[實際展示]]+14)</f>
        <v>44531</v>
      </c>
      <c r="Z494" s="226" t="s">
        <v>2809</v>
      </c>
      <c r="AA494" s="226"/>
      <c r="AB494" s="226"/>
      <c r="AC494" s="226"/>
      <c r="AD494" s="226"/>
      <c r="AE494" s="226"/>
      <c r="AF494" s="355"/>
      <c r="AG494" s="226" t="str">
        <f>IFERROR(IF(VLOOKUP(功能_33[[#This Row],[功能代號]],E:Q,11,FALSE)=0,"",VLOOKUP(功能_33[[#This Row],[功能代號]],E:Q,11,FALSE)),"")</f>
        <v>邱怡婷</v>
      </c>
      <c r="AH494" s="226"/>
      <c r="AI494" s="226"/>
      <c r="AJ494" s="307"/>
      <c r="AN494" s="307" t="e">
        <f>VLOOKUP(功能_33[[#This Row],[功能代號]],工作表2!B:B,1,FALSE)</f>
        <v>#N/A</v>
      </c>
    </row>
    <row r="495" spans="1:40" ht="14.25" hidden="1" customHeight="1">
      <c r="A495" s="224"/>
      <c r="B49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07" t="s">
        <v>107</v>
      </c>
      <c r="D495" s="295" t="s">
        <v>1148</v>
      </c>
      <c r="E495" s="308" t="s">
        <v>1347</v>
      </c>
      <c r="F495" s="307" t="s">
        <v>1348</v>
      </c>
      <c r="G495" s="307" t="s">
        <v>1151</v>
      </c>
      <c r="H495" s="308" t="s">
        <v>147</v>
      </c>
      <c r="I495" s="308" t="s">
        <v>148</v>
      </c>
      <c r="J495" s="287"/>
      <c r="K495" s="226">
        <v>44518</v>
      </c>
      <c r="L495" s="226">
        <v>44517</v>
      </c>
      <c r="M495" s="226" t="str">
        <f>IFERROR(IF(VLOOKUP(功能_33[[#This Row],[功能代號]],討論項目!A:H,8,FALSE)=0,"",VLOOKUP(功能_33[[#This Row],[功能代號]],討論項目!A:H,8,FALSE)),"")</f>
        <v/>
      </c>
      <c r="N495" s="308" t="s">
        <v>7</v>
      </c>
      <c r="O495" s="308" t="s">
        <v>25</v>
      </c>
      <c r="T495" s="308"/>
      <c r="V495" s="308"/>
      <c r="W495" s="308"/>
      <c r="X495" s="307" t="str">
        <f>VLOOKUP(功能_33[[#This Row],[User]],SKL放款!A:G,7,FALSE)</f>
        <v>放款管理課</v>
      </c>
      <c r="Y495" s="228">
        <f>IF(功能_33[[#This Row],[實際展示]]="","",功能_33[[#This Row],[實際展示]]+14)</f>
        <v>44531</v>
      </c>
      <c r="Z495" s="226" t="s">
        <v>2809</v>
      </c>
      <c r="AA495" s="226"/>
      <c r="AB495" s="226"/>
      <c r="AC495" s="226"/>
      <c r="AD495" s="226"/>
      <c r="AE495" s="226"/>
      <c r="AF495" s="355"/>
      <c r="AG495" s="226" t="str">
        <f>IFERROR(IF(VLOOKUP(功能_33[[#This Row],[功能代號]],E:Q,11,FALSE)=0,"",VLOOKUP(功能_33[[#This Row],[功能代號]],E:Q,11,FALSE)),"")</f>
        <v>邱怡婷</v>
      </c>
      <c r="AH495" s="226"/>
      <c r="AI495" s="226"/>
      <c r="AJ495" s="307"/>
      <c r="AN495" s="307" t="e">
        <f>VLOOKUP(功能_33[[#This Row],[功能代號]],工作表2!B:B,1,FALSE)</f>
        <v>#N/A</v>
      </c>
    </row>
    <row r="496" spans="1:40" ht="14.25" hidden="1" customHeight="1">
      <c r="A496" s="224"/>
      <c r="B49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07" t="s">
        <v>107</v>
      </c>
      <c r="D496" s="295" t="s">
        <v>1148</v>
      </c>
      <c r="E496" s="308" t="s">
        <v>1349</v>
      </c>
      <c r="F496" s="307" t="s">
        <v>1350</v>
      </c>
      <c r="G496" s="307" t="s">
        <v>1151</v>
      </c>
      <c r="H496" s="308" t="s">
        <v>147</v>
      </c>
      <c r="I496" s="308" t="s">
        <v>148</v>
      </c>
      <c r="J496" s="287"/>
      <c r="K496" s="226">
        <v>44518</v>
      </c>
      <c r="L496" s="226">
        <v>44517</v>
      </c>
      <c r="M496" s="226" t="str">
        <f>IFERROR(IF(VLOOKUP(功能_33[[#This Row],[功能代號]],討論項目!A:H,8,FALSE)=0,"",VLOOKUP(功能_33[[#This Row],[功能代號]],討論項目!A:H,8,FALSE)),"")</f>
        <v/>
      </c>
      <c r="N496" s="308" t="s">
        <v>7</v>
      </c>
      <c r="O496" s="308" t="s">
        <v>25</v>
      </c>
      <c r="T496" s="308"/>
      <c r="V496" s="308"/>
      <c r="W496" s="308"/>
      <c r="X496" s="307" t="str">
        <f>VLOOKUP(功能_33[[#This Row],[User]],SKL放款!A:G,7,FALSE)</f>
        <v>放款管理課</v>
      </c>
      <c r="Y496" s="228">
        <f>IF(功能_33[[#This Row],[實際展示]]="","",功能_33[[#This Row],[實際展示]]+14)</f>
        <v>44531</v>
      </c>
      <c r="Z496" s="226" t="s">
        <v>2809</v>
      </c>
      <c r="AA496" s="226"/>
      <c r="AB496" s="226"/>
      <c r="AC496" s="226"/>
      <c r="AD496" s="226"/>
      <c r="AE496" s="226"/>
      <c r="AF496" s="355"/>
      <c r="AG496" s="226" t="str">
        <f>IFERROR(IF(VLOOKUP(功能_33[[#This Row],[功能代號]],E:Q,11,FALSE)=0,"",VLOOKUP(功能_33[[#This Row],[功能代號]],E:Q,11,FALSE)),"")</f>
        <v>邱怡婷</v>
      </c>
      <c r="AH496" s="226"/>
      <c r="AI496" s="226"/>
      <c r="AJ496" s="307"/>
      <c r="AN496" s="307" t="e">
        <f>VLOOKUP(功能_33[[#This Row],[功能代號]],工作表2!B:B,1,FALSE)</f>
        <v>#N/A</v>
      </c>
    </row>
    <row r="497" spans="1:40" ht="14.25" hidden="1" customHeight="1">
      <c r="A497" s="224"/>
      <c r="B49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07" t="s">
        <v>107</v>
      </c>
      <c r="D497" s="295" t="s">
        <v>1148</v>
      </c>
      <c r="E497" s="308" t="s">
        <v>1351</v>
      </c>
      <c r="F497" s="307" t="s">
        <v>1352</v>
      </c>
      <c r="G497" s="307" t="s">
        <v>1151</v>
      </c>
      <c r="H497" s="308" t="s">
        <v>147</v>
      </c>
      <c r="I497" s="308" t="s">
        <v>148</v>
      </c>
      <c r="J497" s="287"/>
      <c r="K497" s="226">
        <v>44518</v>
      </c>
      <c r="L497" s="226">
        <v>44517</v>
      </c>
      <c r="M497" s="226" t="str">
        <f>IFERROR(IF(VLOOKUP(功能_33[[#This Row],[功能代號]],討論項目!A:H,8,FALSE)=0,"",VLOOKUP(功能_33[[#This Row],[功能代號]],討論項目!A:H,8,FALSE)),"")</f>
        <v/>
      </c>
      <c r="N497" s="308" t="s">
        <v>7</v>
      </c>
      <c r="O497" s="308" t="s">
        <v>25</v>
      </c>
      <c r="T497" s="308"/>
      <c r="V497" s="308"/>
      <c r="W497" s="308"/>
      <c r="X497" s="307" t="str">
        <f>VLOOKUP(功能_33[[#This Row],[User]],SKL放款!A:G,7,FALSE)</f>
        <v>放款管理課</v>
      </c>
      <c r="Y497" s="228">
        <f>IF(功能_33[[#This Row],[實際展示]]="","",功能_33[[#This Row],[實際展示]]+14)</f>
        <v>44531</v>
      </c>
      <c r="Z497" s="226" t="s">
        <v>2809</v>
      </c>
      <c r="AA497" s="226"/>
      <c r="AB497" s="226"/>
      <c r="AC497" s="226"/>
      <c r="AD497" s="226"/>
      <c r="AE497" s="226"/>
      <c r="AF497" s="355"/>
      <c r="AG497" s="226" t="str">
        <f>IFERROR(IF(VLOOKUP(功能_33[[#This Row],[功能代號]],E:Q,11,FALSE)=0,"",VLOOKUP(功能_33[[#This Row],[功能代號]],E:Q,11,FALSE)),"")</f>
        <v>邱怡婷</v>
      </c>
      <c r="AH497" s="226"/>
      <c r="AI497" s="226"/>
      <c r="AJ497" s="307"/>
      <c r="AN497" s="307" t="e">
        <f>VLOOKUP(功能_33[[#This Row],[功能代號]],工作表2!B:B,1,FALSE)</f>
        <v>#N/A</v>
      </c>
    </row>
    <row r="498" spans="1:40" ht="14.25" hidden="1" customHeight="1">
      <c r="A498" s="224"/>
      <c r="B49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07" t="s">
        <v>107</v>
      </c>
      <c r="D498" s="295" t="s">
        <v>1148</v>
      </c>
      <c r="E498" s="308" t="s">
        <v>1353</v>
      </c>
      <c r="F498" s="307" t="s">
        <v>1354</v>
      </c>
      <c r="G498" s="307" t="s">
        <v>1151</v>
      </c>
      <c r="H498" s="308" t="s">
        <v>147</v>
      </c>
      <c r="I498" s="308" t="s">
        <v>148</v>
      </c>
      <c r="J498" s="287"/>
      <c r="K498" s="226">
        <v>44518</v>
      </c>
      <c r="L498" s="226">
        <v>44517</v>
      </c>
      <c r="M498" s="226" t="str">
        <f>IFERROR(IF(VLOOKUP(功能_33[[#This Row],[功能代號]],討論項目!A:H,8,FALSE)=0,"",VLOOKUP(功能_33[[#This Row],[功能代號]],討論項目!A:H,8,FALSE)),"")</f>
        <v/>
      </c>
      <c r="N498" s="308" t="s">
        <v>7</v>
      </c>
      <c r="O498" s="308" t="s">
        <v>25</v>
      </c>
      <c r="T498" s="308"/>
      <c r="V498" s="308"/>
      <c r="W498" s="308"/>
      <c r="X498" s="307" t="str">
        <f>VLOOKUP(功能_33[[#This Row],[User]],SKL放款!A:G,7,FALSE)</f>
        <v>放款管理課</v>
      </c>
      <c r="Y498" s="228">
        <f>IF(功能_33[[#This Row],[實際展示]]="","",功能_33[[#This Row],[實際展示]]+14)</f>
        <v>44531</v>
      </c>
      <c r="Z498" s="226" t="s">
        <v>2809</v>
      </c>
      <c r="AA498" s="226"/>
      <c r="AB498" s="226"/>
      <c r="AC498" s="226"/>
      <c r="AD498" s="226"/>
      <c r="AE498" s="226"/>
      <c r="AF498" s="355"/>
      <c r="AG498" s="226" t="str">
        <f>IFERROR(IF(VLOOKUP(功能_33[[#This Row],[功能代號]],E:Q,11,FALSE)=0,"",VLOOKUP(功能_33[[#This Row],[功能代號]],E:Q,11,FALSE)),"")</f>
        <v>邱怡婷</v>
      </c>
      <c r="AH498" s="226"/>
      <c r="AI498" s="226"/>
      <c r="AJ498" s="307"/>
      <c r="AN498" s="307" t="e">
        <f>VLOOKUP(功能_33[[#This Row],[功能代號]],工作表2!B:B,1,FALSE)</f>
        <v>#N/A</v>
      </c>
    </row>
    <row r="499" spans="1:40" ht="14.25" hidden="1" customHeight="1">
      <c r="A499" s="224"/>
      <c r="B49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07" t="s">
        <v>107</v>
      </c>
      <c r="D499" s="295" t="s">
        <v>1148</v>
      </c>
      <c r="E499" s="308" t="s">
        <v>1355</v>
      </c>
      <c r="F499" s="307" t="s">
        <v>1356</v>
      </c>
      <c r="G499" s="307" t="s">
        <v>1151</v>
      </c>
      <c r="H499" s="308" t="s">
        <v>147</v>
      </c>
      <c r="I499" s="308" t="s">
        <v>148</v>
      </c>
      <c r="J499" s="287"/>
      <c r="K499" s="226">
        <v>44518</v>
      </c>
      <c r="L499" s="226">
        <v>44517</v>
      </c>
      <c r="M499" s="226" t="str">
        <f>IFERROR(IF(VLOOKUP(功能_33[[#This Row],[功能代號]],討論項目!A:H,8,FALSE)=0,"",VLOOKUP(功能_33[[#This Row],[功能代號]],討論項目!A:H,8,FALSE)),"")</f>
        <v/>
      </c>
      <c r="N499" s="308" t="s">
        <v>7</v>
      </c>
      <c r="O499" s="308" t="s">
        <v>25</v>
      </c>
      <c r="T499" s="308"/>
      <c r="V499" s="308"/>
      <c r="W499" s="308"/>
      <c r="X499" s="307" t="str">
        <f>VLOOKUP(功能_33[[#This Row],[User]],SKL放款!A:G,7,FALSE)</f>
        <v>放款管理課</v>
      </c>
      <c r="Y499" s="228">
        <f>IF(功能_33[[#This Row],[實際展示]]="","",功能_33[[#This Row],[實際展示]]+14)</f>
        <v>44531</v>
      </c>
      <c r="Z499" s="226" t="s">
        <v>2809</v>
      </c>
      <c r="AA499" s="226"/>
      <c r="AB499" s="226"/>
      <c r="AC499" s="226"/>
      <c r="AD499" s="226"/>
      <c r="AE499" s="226"/>
      <c r="AF499" s="355"/>
      <c r="AG499" s="226" t="str">
        <f>IFERROR(IF(VLOOKUP(功能_33[[#This Row],[功能代號]],E:Q,11,FALSE)=0,"",VLOOKUP(功能_33[[#This Row],[功能代號]],E:Q,11,FALSE)),"")</f>
        <v>邱怡婷</v>
      </c>
      <c r="AH499" s="226"/>
      <c r="AI499" s="226"/>
      <c r="AJ499" s="307"/>
      <c r="AN499" s="307" t="e">
        <f>VLOOKUP(功能_33[[#This Row],[功能代號]],工作表2!B:B,1,FALSE)</f>
        <v>#N/A</v>
      </c>
    </row>
    <row r="500" spans="1:40" ht="14.25" hidden="1" customHeight="1">
      <c r="A500" s="224"/>
      <c r="B50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07" t="s">
        <v>107</v>
      </c>
      <c r="D500" s="295" t="s">
        <v>1148</v>
      </c>
      <c r="E500" s="308" t="s">
        <v>1357</v>
      </c>
      <c r="F500" s="307" t="s">
        <v>1358</v>
      </c>
      <c r="G500" s="307" t="s">
        <v>1151</v>
      </c>
      <c r="H500" s="308" t="s">
        <v>147</v>
      </c>
      <c r="I500" s="308" t="s">
        <v>148</v>
      </c>
      <c r="J500" s="287"/>
      <c r="K500" s="226">
        <v>44518</v>
      </c>
      <c r="L500" s="226">
        <v>44517</v>
      </c>
      <c r="M500" s="226" t="str">
        <f>IFERROR(IF(VLOOKUP(功能_33[[#This Row],[功能代號]],討論項目!A:H,8,FALSE)=0,"",VLOOKUP(功能_33[[#This Row],[功能代號]],討論項目!A:H,8,FALSE)),"")</f>
        <v/>
      </c>
      <c r="N500" s="308" t="s">
        <v>7</v>
      </c>
      <c r="O500" s="308" t="s">
        <v>25</v>
      </c>
      <c r="T500" s="308"/>
      <c r="V500" s="308"/>
      <c r="W500" s="308"/>
      <c r="X500" s="307" t="str">
        <f>VLOOKUP(功能_33[[#This Row],[User]],SKL放款!A:G,7,FALSE)</f>
        <v>放款管理課</v>
      </c>
      <c r="Y500" s="228">
        <f>IF(功能_33[[#This Row],[實際展示]]="","",功能_33[[#This Row],[實際展示]]+14)</f>
        <v>44531</v>
      </c>
      <c r="Z500" s="226" t="s">
        <v>2809</v>
      </c>
      <c r="AA500" s="226"/>
      <c r="AB500" s="226"/>
      <c r="AC500" s="226"/>
      <c r="AD500" s="226"/>
      <c r="AE500" s="226"/>
      <c r="AF500" s="355"/>
      <c r="AG500" s="226" t="str">
        <f>IFERROR(IF(VLOOKUP(功能_33[[#This Row],[功能代號]],E:Q,11,FALSE)=0,"",VLOOKUP(功能_33[[#This Row],[功能代號]],E:Q,11,FALSE)),"")</f>
        <v>邱怡婷</v>
      </c>
      <c r="AH500" s="226"/>
      <c r="AI500" s="226"/>
      <c r="AJ500" s="307"/>
      <c r="AN500" s="307" t="e">
        <f>VLOOKUP(功能_33[[#This Row],[功能代號]],工作表2!B:B,1,FALSE)</f>
        <v>#N/A</v>
      </c>
    </row>
    <row r="501" spans="1:40" ht="14.25" hidden="1" customHeight="1">
      <c r="A501" s="224"/>
      <c r="B50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07" t="s">
        <v>107</v>
      </c>
      <c r="D501" s="295" t="s">
        <v>1148</v>
      </c>
      <c r="E501" s="308" t="s">
        <v>1359</v>
      </c>
      <c r="F501" s="307" t="s">
        <v>1360</v>
      </c>
      <c r="G501" s="307" t="s">
        <v>1151</v>
      </c>
      <c r="H501" s="308" t="s">
        <v>147</v>
      </c>
      <c r="I501" s="308" t="s">
        <v>148</v>
      </c>
      <c r="J501" s="287"/>
      <c r="K501" s="226">
        <v>44518</v>
      </c>
      <c r="L501" s="226">
        <v>44517</v>
      </c>
      <c r="M501" s="226" t="str">
        <f>IFERROR(IF(VLOOKUP(功能_33[[#This Row],[功能代號]],討論項目!A:H,8,FALSE)=0,"",VLOOKUP(功能_33[[#This Row],[功能代號]],討論項目!A:H,8,FALSE)),"")</f>
        <v/>
      </c>
      <c r="N501" s="308" t="s">
        <v>7</v>
      </c>
      <c r="O501" s="308" t="s">
        <v>25</v>
      </c>
      <c r="T501" s="308"/>
      <c r="V501" s="308"/>
      <c r="W501" s="308"/>
      <c r="X501" s="307" t="str">
        <f>VLOOKUP(功能_33[[#This Row],[User]],SKL放款!A:G,7,FALSE)</f>
        <v>放款管理課</v>
      </c>
      <c r="Y501" s="228">
        <f>IF(功能_33[[#This Row],[實際展示]]="","",功能_33[[#This Row],[實際展示]]+14)</f>
        <v>44531</v>
      </c>
      <c r="Z501" s="226" t="s">
        <v>2809</v>
      </c>
      <c r="AA501" s="226"/>
      <c r="AB501" s="226"/>
      <c r="AC501" s="226"/>
      <c r="AD501" s="226"/>
      <c r="AE501" s="226"/>
      <c r="AF501" s="355"/>
      <c r="AG501" s="226" t="str">
        <f>IFERROR(IF(VLOOKUP(功能_33[[#This Row],[功能代號]],E:Q,11,FALSE)=0,"",VLOOKUP(功能_33[[#This Row],[功能代號]],E:Q,11,FALSE)),"")</f>
        <v>邱怡婷</v>
      </c>
      <c r="AH501" s="226"/>
      <c r="AI501" s="226"/>
      <c r="AJ501" s="307"/>
      <c r="AN501" s="307" t="e">
        <f>VLOOKUP(功能_33[[#This Row],[功能代號]],工作表2!B:B,1,FALSE)</f>
        <v>#N/A</v>
      </c>
    </row>
    <row r="502" spans="1:40" ht="14.25" hidden="1" customHeight="1">
      <c r="A502" s="224"/>
      <c r="B50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07" t="s">
        <v>107</v>
      </c>
      <c r="D502" s="295" t="s">
        <v>1148</v>
      </c>
      <c r="E502" s="308" t="s">
        <v>1361</v>
      </c>
      <c r="F502" s="307" t="s">
        <v>1362</v>
      </c>
      <c r="G502" s="307" t="s">
        <v>1151</v>
      </c>
      <c r="H502" s="308" t="s">
        <v>147</v>
      </c>
      <c r="I502" s="308" t="s">
        <v>148</v>
      </c>
      <c r="J502" s="287"/>
      <c r="K502" s="226">
        <v>44518</v>
      </c>
      <c r="L502" s="226">
        <v>44517</v>
      </c>
      <c r="M502" s="226" t="str">
        <f>IFERROR(IF(VLOOKUP(功能_33[[#This Row],[功能代號]],討論項目!A:H,8,FALSE)=0,"",VLOOKUP(功能_33[[#This Row],[功能代號]],討論項目!A:H,8,FALSE)),"")</f>
        <v/>
      </c>
      <c r="N502" s="308" t="s">
        <v>7</v>
      </c>
      <c r="O502" s="308" t="s">
        <v>25</v>
      </c>
      <c r="T502" s="308"/>
      <c r="V502" s="308"/>
      <c r="W502" s="308"/>
      <c r="X502" s="307" t="str">
        <f>VLOOKUP(功能_33[[#This Row],[User]],SKL放款!A:G,7,FALSE)</f>
        <v>放款管理課</v>
      </c>
      <c r="Y502" s="228">
        <f>IF(功能_33[[#This Row],[實際展示]]="","",功能_33[[#This Row],[實際展示]]+14)</f>
        <v>44531</v>
      </c>
      <c r="Z502" s="226" t="s">
        <v>2809</v>
      </c>
      <c r="AA502" s="226"/>
      <c r="AB502" s="226"/>
      <c r="AC502" s="226"/>
      <c r="AD502" s="226"/>
      <c r="AE502" s="226"/>
      <c r="AF502" s="355"/>
      <c r="AG502" s="226" t="str">
        <f>IFERROR(IF(VLOOKUP(功能_33[[#This Row],[功能代號]],E:Q,11,FALSE)=0,"",VLOOKUP(功能_33[[#This Row],[功能代號]],E:Q,11,FALSE)),"")</f>
        <v>邱怡婷</v>
      </c>
      <c r="AH502" s="226"/>
      <c r="AI502" s="226"/>
      <c r="AJ502" s="307"/>
      <c r="AN502" s="307" t="e">
        <f>VLOOKUP(功能_33[[#This Row],[功能代號]],工作表2!B:B,1,FALSE)</f>
        <v>#N/A</v>
      </c>
    </row>
    <row r="503" spans="1:40" ht="14.25" hidden="1" customHeight="1">
      <c r="A503" s="224"/>
      <c r="B50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07" t="s">
        <v>107</v>
      </c>
      <c r="D503" s="295" t="s">
        <v>1148</v>
      </c>
      <c r="E503" s="308" t="s">
        <v>1363</v>
      </c>
      <c r="F503" s="307" t="s">
        <v>1364</v>
      </c>
      <c r="G503" s="307" t="s">
        <v>1151</v>
      </c>
      <c r="H503" s="308" t="s">
        <v>147</v>
      </c>
      <c r="I503" s="308" t="s">
        <v>148</v>
      </c>
      <c r="J503" s="287"/>
      <c r="K503" s="226">
        <v>44519</v>
      </c>
      <c r="L503" s="226">
        <v>44517</v>
      </c>
      <c r="M503" s="226" t="str">
        <f>IFERROR(IF(VLOOKUP(功能_33[[#This Row],[功能代號]],討論項目!A:H,8,FALSE)=0,"",VLOOKUP(功能_33[[#This Row],[功能代號]],討論項目!A:H,8,FALSE)),"")</f>
        <v/>
      </c>
      <c r="N503" s="308" t="s">
        <v>7</v>
      </c>
      <c r="O503" s="308" t="s">
        <v>25</v>
      </c>
      <c r="T503" s="308"/>
      <c r="V503" s="308"/>
      <c r="W503" s="308"/>
      <c r="X503" s="307" t="str">
        <f>VLOOKUP(功能_33[[#This Row],[User]],SKL放款!A:G,7,FALSE)</f>
        <v>放款管理課</v>
      </c>
      <c r="Y503" s="228">
        <f>IF(功能_33[[#This Row],[實際展示]]="","",功能_33[[#This Row],[實際展示]]+14)</f>
        <v>44531</v>
      </c>
      <c r="Z503" s="226" t="s">
        <v>2809</v>
      </c>
      <c r="AA503" s="226"/>
      <c r="AB503" s="226"/>
      <c r="AC503" s="226"/>
      <c r="AD503" s="226"/>
      <c r="AE503" s="226"/>
      <c r="AF503" s="355"/>
      <c r="AG503" s="226" t="str">
        <f>IFERROR(IF(VLOOKUP(功能_33[[#This Row],[功能代號]],E:Q,11,FALSE)=0,"",VLOOKUP(功能_33[[#This Row],[功能代號]],E:Q,11,FALSE)),"")</f>
        <v>邱怡婷</v>
      </c>
      <c r="AH503" s="226"/>
      <c r="AI503" s="226"/>
      <c r="AJ503" s="307"/>
      <c r="AN503" s="307" t="e">
        <f>VLOOKUP(功能_33[[#This Row],[功能代號]],工作表2!B:B,1,FALSE)</f>
        <v>#N/A</v>
      </c>
    </row>
    <row r="504" spans="1:40" ht="14.25" hidden="1" customHeight="1">
      <c r="A504" s="224"/>
      <c r="B50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07" t="s">
        <v>107</v>
      </c>
      <c r="D504" s="295" t="s">
        <v>1148</v>
      </c>
      <c r="E504" s="308" t="s">
        <v>1365</v>
      </c>
      <c r="F504" s="307" t="s">
        <v>1366</v>
      </c>
      <c r="G504" s="307" t="s">
        <v>1151</v>
      </c>
      <c r="H504" s="308" t="s">
        <v>147</v>
      </c>
      <c r="I504" s="308" t="s">
        <v>148</v>
      </c>
      <c r="J504" s="287"/>
      <c r="K504" s="226">
        <v>44519</v>
      </c>
      <c r="L504" s="226">
        <v>44517</v>
      </c>
      <c r="M504" s="226" t="str">
        <f>IFERROR(IF(VLOOKUP(功能_33[[#This Row],[功能代號]],討論項目!A:H,8,FALSE)=0,"",VLOOKUP(功能_33[[#This Row],[功能代號]],討論項目!A:H,8,FALSE)),"")</f>
        <v/>
      </c>
      <c r="N504" s="308" t="s">
        <v>7</v>
      </c>
      <c r="O504" s="308" t="s">
        <v>25</v>
      </c>
      <c r="T504" s="308"/>
      <c r="V504" s="308"/>
      <c r="W504" s="308"/>
      <c r="X504" s="307" t="str">
        <f>VLOOKUP(功能_33[[#This Row],[User]],SKL放款!A:G,7,FALSE)</f>
        <v>放款管理課</v>
      </c>
      <c r="Y504" s="228">
        <f>IF(功能_33[[#This Row],[實際展示]]="","",功能_33[[#This Row],[實際展示]]+14)</f>
        <v>44531</v>
      </c>
      <c r="Z504" s="226" t="s">
        <v>2809</v>
      </c>
      <c r="AA504" s="226"/>
      <c r="AB504" s="226"/>
      <c r="AC504" s="226"/>
      <c r="AD504" s="226"/>
      <c r="AE504" s="226"/>
      <c r="AF504" s="355"/>
      <c r="AG504" s="226" t="str">
        <f>IFERROR(IF(VLOOKUP(功能_33[[#This Row],[功能代號]],E:Q,11,FALSE)=0,"",VLOOKUP(功能_33[[#This Row],[功能代號]],E:Q,11,FALSE)),"")</f>
        <v>邱怡婷</v>
      </c>
      <c r="AH504" s="226"/>
      <c r="AI504" s="226"/>
      <c r="AJ504" s="307"/>
      <c r="AN504" s="307" t="e">
        <f>VLOOKUP(功能_33[[#This Row],[功能代號]],工作表2!B:B,1,FALSE)</f>
        <v>#N/A</v>
      </c>
    </row>
    <row r="505" spans="1:40" ht="14.25" hidden="1" customHeight="1">
      <c r="A505" s="224"/>
      <c r="B50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07" t="s">
        <v>107</v>
      </c>
      <c r="D505" s="295" t="s">
        <v>1148</v>
      </c>
      <c r="E505" s="308" t="s">
        <v>1367</v>
      </c>
      <c r="F505" s="307" t="s">
        <v>1368</v>
      </c>
      <c r="G505" s="307" t="s">
        <v>1151</v>
      </c>
      <c r="H505" s="308" t="s">
        <v>147</v>
      </c>
      <c r="I505" s="308" t="s">
        <v>148</v>
      </c>
      <c r="J505" s="287"/>
      <c r="K505" s="226">
        <v>44519</v>
      </c>
      <c r="L505" s="226">
        <v>44517</v>
      </c>
      <c r="M505" s="226" t="str">
        <f>IFERROR(IF(VLOOKUP(功能_33[[#This Row],[功能代號]],討論項目!A:H,8,FALSE)=0,"",VLOOKUP(功能_33[[#This Row],[功能代號]],討論項目!A:H,8,FALSE)),"")</f>
        <v/>
      </c>
      <c r="N505" s="308" t="s">
        <v>7</v>
      </c>
      <c r="O505" s="308" t="s">
        <v>25</v>
      </c>
      <c r="T505" s="308"/>
      <c r="V505" s="308"/>
      <c r="W505" s="308"/>
      <c r="X505" s="307" t="str">
        <f>VLOOKUP(功能_33[[#This Row],[User]],SKL放款!A:G,7,FALSE)</f>
        <v>放款管理課</v>
      </c>
      <c r="Y505" s="228">
        <f>IF(功能_33[[#This Row],[實際展示]]="","",功能_33[[#This Row],[實際展示]]+14)</f>
        <v>44531</v>
      </c>
      <c r="Z505" s="226" t="s">
        <v>2809</v>
      </c>
      <c r="AA505" s="226"/>
      <c r="AB505" s="226"/>
      <c r="AC505" s="226"/>
      <c r="AD505" s="226"/>
      <c r="AE505" s="226"/>
      <c r="AF505" s="355"/>
      <c r="AG505" s="226" t="str">
        <f>IFERROR(IF(VLOOKUP(功能_33[[#This Row],[功能代號]],E:Q,11,FALSE)=0,"",VLOOKUP(功能_33[[#This Row],[功能代號]],E:Q,11,FALSE)),"")</f>
        <v>邱怡婷</v>
      </c>
      <c r="AH505" s="226"/>
      <c r="AI505" s="226"/>
      <c r="AJ505" s="307"/>
      <c r="AN505" s="307" t="e">
        <f>VLOOKUP(功能_33[[#This Row],[功能代號]],工作表2!B:B,1,FALSE)</f>
        <v>#N/A</v>
      </c>
    </row>
    <row r="506" spans="1:40" ht="14.25" hidden="1" customHeight="1">
      <c r="A506" s="224"/>
      <c r="B50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307" t="s">
        <v>107</v>
      </c>
      <c r="D506" s="295" t="s">
        <v>1148</v>
      </c>
      <c r="E506" s="308" t="s">
        <v>1369</v>
      </c>
      <c r="F506" s="307" t="s">
        <v>1370</v>
      </c>
      <c r="G506" s="307" t="s">
        <v>1151</v>
      </c>
      <c r="H506" s="308" t="s">
        <v>147</v>
      </c>
      <c r="I506" s="308" t="s">
        <v>148</v>
      </c>
      <c r="J506" s="287"/>
      <c r="K506" s="226">
        <v>44519</v>
      </c>
      <c r="L506" s="226">
        <v>44517</v>
      </c>
      <c r="M506" s="226" t="str">
        <f>IFERROR(IF(VLOOKUP(功能_33[[#This Row],[功能代號]],討論項目!A:H,8,FALSE)=0,"",VLOOKUP(功能_33[[#This Row],[功能代號]],討論項目!A:H,8,FALSE)),"")</f>
        <v/>
      </c>
      <c r="N506" s="308" t="s">
        <v>7</v>
      </c>
      <c r="O506" s="308" t="s">
        <v>25</v>
      </c>
      <c r="T506" s="308"/>
      <c r="V506" s="308"/>
      <c r="W506" s="308"/>
      <c r="X506" s="307" t="str">
        <f>VLOOKUP(功能_33[[#This Row],[User]],SKL放款!A:G,7,FALSE)</f>
        <v>放款管理課</v>
      </c>
      <c r="Y506" s="228">
        <f>IF(功能_33[[#This Row],[實際展示]]="","",功能_33[[#This Row],[實際展示]]+14)</f>
        <v>44531</v>
      </c>
      <c r="Z506" s="226" t="s">
        <v>2809</v>
      </c>
      <c r="AA506" s="226"/>
      <c r="AB506" s="226"/>
      <c r="AC506" s="226"/>
      <c r="AD506" s="226"/>
      <c r="AE506" s="226"/>
      <c r="AF506" s="355"/>
      <c r="AG506" s="226" t="str">
        <f>IFERROR(IF(VLOOKUP(功能_33[[#This Row],[功能代號]],E:Q,11,FALSE)=0,"",VLOOKUP(功能_33[[#This Row],[功能代號]],E:Q,11,FALSE)),"")</f>
        <v>邱怡婷</v>
      </c>
      <c r="AH506" s="226"/>
      <c r="AI506" s="226"/>
      <c r="AJ506" s="307"/>
      <c r="AN506" s="307" t="e">
        <f>VLOOKUP(功能_33[[#This Row],[功能代號]],工作表2!B:B,1,FALSE)</f>
        <v>#N/A</v>
      </c>
    </row>
    <row r="507" spans="1:40" ht="14.25" hidden="1" customHeight="1">
      <c r="A507" s="224"/>
      <c r="B50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307" t="s">
        <v>107</v>
      </c>
      <c r="D507" s="295" t="s">
        <v>1148</v>
      </c>
      <c r="E507" s="308" t="s">
        <v>1371</v>
      </c>
      <c r="F507" s="307" t="s">
        <v>1372</v>
      </c>
      <c r="G507" s="307" t="s">
        <v>1151</v>
      </c>
      <c r="H507" s="308" t="s">
        <v>147</v>
      </c>
      <c r="I507" s="308" t="s">
        <v>148</v>
      </c>
      <c r="J507" s="287"/>
      <c r="K507" s="226">
        <v>44519</v>
      </c>
      <c r="L507" s="226">
        <v>44517</v>
      </c>
      <c r="M507" s="226" t="str">
        <f>IFERROR(IF(VLOOKUP(功能_33[[#This Row],[功能代號]],討論項目!A:H,8,FALSE)=0,"",VLOOKUP(功能_33[[#This Row],[功能代號]],討論項目!A:H,8,FALSE)),"")</f>
        <v/>
      </c>
      <c r="N507" s="308" t="s">
        <v>7</v>
      </c>
      <c r="O507" s="308" t="s">
        <v>25</v>
      </c>
      <c r="T507" s="308"/>
      <c r="V507" s="308"/>
      <c r="W507" s="308"/>
      <c r="X507" s="307" t="str">
        <f>VLOOKUP(功能_33[[#This Row],[User]],SKL放款!A:G,7,FALSE)</f>
        <v>放款管理課</v>
      </c>
      <c r="Y507" s="228">
        <f>IF(功能_33[[#This Row],[實際展示]]="","",功能_33[[#This Row],[實際展示]]+14)</f>
        <v>44531</v>
      </c>
      <c r="Z507" s="226" t="s">
        <v>2809</v>
      </c>
      <c r="AA507" s="226"/>
      <c r="AB507" s="226"/>
      <c r="AC507" s="226"/>
      <c r="AD507" s="226"/>
      <c r="AE507" s="226"/>
      <c r="AF507" s="355"/>
      <c r="AG507" s="226" t="str">
        <f>IFERROR(IF(VLOOKUP(功能_33[[#This Row],[功能代號]],E:Q,11,FALSE)=0,"",VLOOKUP(功能_33[[#This Row],[功能代號]],E:Q,11,FALSE)),"")</f>
        <v>邱怡婷</v>
      </c>
      <c r="AH507" s="226"/>
      <c r="AI507" s="226"/>
      <c r="AJ507" s="307"/>
      <c r="AN507" s="307" t="e">
        <f>VLOOKUP(功能_33[[#This Row],[功能代號]],工作表2!B:B,1,FALSE)</f>
        <v>#N/A</v>
      </c>
    </row>
    <row r="508" spans="1:40" ht="14.25" hidden="1" customHeight="1">
      <c r="A508" s="224"/>
      <c r="B50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307" t="s">
        <v>107</v>
      </c>
      <c r="D508" s="295" t="s">
        <v>1148</v>
      </c>
      <c r="E508" s="308" t="s">
        <v>1373</v>
      </c>
      <c r="F508" s="307" t="s">
        <v>1374</v>
      </c>
      <c r="G508" s="307" t="s">
        <v>1151</v>
      </c>
      <c r="H508" s="308" t="s">
        <v>147</v>
      </c>
      <c r="I508" s="308" t="s">
        <v>148</v>
      </c>
      <c r="J508" s="287"/>
      <c r="K508" s="226">
        <v>44519</v>
      </c>
      <c r="L508" s="226">
        <v>44517</v>
      </c>
      <c r="M508" s="226" t="str">
        <f>IFERROR(IF(VLOOKUP(功能_33[[#This Row],[功能代號]],討論項目!A:H,8,FALSE)=0,"",VLOOKUP(功能_33[[#This Row],[功能代號]],討論項目!A:H,8,FALSE)),"")</f>
        <v/>
      </c>
      <c r="N508" s="308" t="s">
        <v>7</v>
      </c>
      <c r="O508" s="308" t="s">
        <v>25</v>
      </c>
      <c r="T508" s="308"/>
      <c r="V508" s="308"/>
      <c r="W508" s="308"/>
      <c r="X508" s="307" t="str">
        <f>VLOOKUP(功能_33[[#This Row],[User]],SKL放款!A:G,7,FALSE)</f>
        <v>放款管理課</v>
      </c>
      <c r="Y508" s="228">
        <f>IF(功能_33[[#This Row],[實際展示]]="","",功能_33[[#This Row],[實際展示]]+14)</f>
        <v>44531</v>
      </c>
      <c r="Z508" s="226" t="s">
        <v>2809</v>
      </c>
      <c r="AA508" s="226"/>
      <c r="AB508" s="226"/>
      <c r="AC508" s="226"/>
      <c r="AD508" s="226"/>
      <c r="AE508" s="226"/>
      <c r="AF508" s="355"/>
      <c r="AG508" s="226" t="str">
        <f>IFERROR(IF(VLOOKUP(功能_33[[#This Row],[功能代號]],E:Q,11,FALSE)=0,"",VLOOKUP(功能_33[[#This Row],[功能代號]],E:Q,11,FALSE)),"")</f>
        <v>邱怡婷</v>
      </c>
      <c r="AH508" s="226"/>
      <c r="AI508" s="226"/>
      <c r="AJ508" s="307"/>
      <c r="AN508" s="307" t="e">
        <f>VLOOKUP(功能_33[[#This Row],[功能代號]],工作表2!B:B,1,FALSE)</f>
        <v>#N/A</v>
      </c>
    </row>
    <row r="509" spans="1:40" ht="14.25" hidden="1" customHeight="1">
      <c r="A509" s="224"/>
      <c r="B509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9" s="307" t="s">
        <v>107</v>
      </c>
      <c r="D509" s="224" t="s">
        <v>1375</v>
      </c>
      <c r="E509" s="308" t="s">
        <v>1376</v>
      </c>
      <c r="F509" s="307" t="s">
        <v>1377</v>
      </c>
      <c r="G509" s="307" t="s">
        <v>1378</v>
      </c>
      <c r="H509" s="308" t="s">
        <v>147</v>
      </c>
      <c r="I509" s="308" t="s">
        <v>148</v>
      </c>
      <c r="J509" s="287" t="s">
        <v>2787</v>
      </c>
      <c r="K509" s="406">
        <v>44524</v>
      </c>
      <c r="L509" s="226"/>
      <c r="M509" s="226" t="str">
        <f>IFERROR(IF(VLOOKUP(功能_33[[#This Row],[功能代號]],討論項目!A:H,8,FALSE)=0,"",VLOOKUP(功能_33[[#This Row],[功能代號]],討論項目!A:H,8,FALSE)),"")</f>
        <v/>
      </c>
      <c r="N509" s="394" t="str">
        <f>VLOOKUP(功能_33[[#This Row],[功能代號]],[3]外部輸出入介面!$C:$F,4,FALSE)</f>
        <v>林清河</v>
      </c>
      <c r="O509" s="394" t="s">
        <v>2790</v>
      </c>
      <c r="P509" s="394" t="s">
        <v>21</v>
      </c>
      <c r="T509" s="308"/>
      <c r="V509" s="308"/>
      <c r="W509" s="308"/>
      <c r="X509" s="307" t="str">
        <f>VLOOKUP(功能_33[[#This Row],[User]],SKL放款!A:G,7,FALSE)</f>
        <v>放款審查課</v>
      </c>
      <c r="Y509" s="228" t="str">
        <f>IF(功能_33[[#This Row],[實際展示]]="","",功能_33[[#This Row],[實際展示]]+14)</f>
        <v/>
      </c>
      <c r="Z509" s="226"/>
      <c r="AA509" s="226"/>
      <c r="AB509" s="226"/>
      <c r="AC509" s="226"/>
      <c r="AD509" s="226"/>
      <c r="AE509" s="226"/>
      <c r="AF509" s="226"/>
      <c r="AG509" s="226" t="str">
        <f>IFERROR(IF(VLOOKUP(功能_33[[#This Row],[功能代號]],E:Q,11,FALSE)=0,"",VLOOKUP(功能_33[[#This Row],[功能代號]],E:Q,11,FALSE)),"")</f>
        <v>鄧雪美</v>
      </c>
      <c r="AH509" s="226"/>
      <c r="AI509" s="226"/>
      <c r="AJ509" s="307"/>
      <c r="AN509" s="307" t="e">
        <f>VLOOKUP(功能_33[[#This Row],[功能代號]],工作表2!B:B,1,FALSE)</f>
        <v>#N/A</v>
      </c>
    </row>
    <row r="510" spans="1:40" ht="14.25" hidden="1" customHeight="1">
      <c r="A510" s="224"/>
      <c r="B510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0" s="307" t="s">
        <v>107</v>
      </c>
      <c r="D510" s="224" t="s">
        <v>1375</v>
      </c>
      <c r="E510" s="308" t="s">
        <v>1379</v>
      </c>
      <c r="F510" s="307" t="s">
        <v>1380</v>
      </c>
      <c r="G510" s="307" t="s">
        <v>1378</v>
      </c>
      <c r="H510" s="308" t="s">
        <v>147</v>
      </c>
      <c r="I510" s="308" t="s">
        <v>148</v>
      </c>
      <c r="J510" s="287" t="s">
        <v>2787</v>
      </c>
      <c r="K510" s="406">
        <v>44524</v>
      </c>
      <c r="L510" s="226"/>
      <c r="M510" s="226" t="str">
        <f>IFERROR(IF(VLOOKUP(功能_33[[#This Row],[功能代號]],討論項目!A:H,8,FALSE)=0,"",VLOOKUP(功能_33[[#This Row],[功能代號]],討論項目!A:H,8,FALSE)),"")</f>
        <v/>
      </c>
      <c r="N510" s="394" t="str">
        <f>VLOOKUP(功能_33[[#This Row],[功能代號]],[3]外部輸出入介面!$C:$F,4,FALSE)</f>
        <v>林清河</v>
      </c>
      <c r="O510" s="394" t="s">
        <v>2790</v>
      </c>
      <c r="P510" s="394" t="s">
        <v>21</v>
      </c>
      <c r="T510" s="308"/>
      <c r="V510" s="308"/>
      <c r="W510" s="308"/>
      <c r="X510" s="307" t="str">
        <f>VLOOKUP(功能_33[[#This Row],[User]],SKL放款!A:G,7,FALSE)</f>
        <v>放款審查課</v>
      </c>
      <c r="Y510" s="228" t="str">
        <f>IF(功能_33[[#This Row],[實際展示]]="","",功能_33[[#This Row],[實際展示]]+14)</f>
        <v/>
      </c>
      <c r="Z510" s="226"/>
      <c r="AA510" s="226"/>
      <c r="AB510" s="226"/>
      <c r="AC510" s="226"/>
      <c r="AD510" s="226"/>
      <c r="AE510" s="226"/>
      <c r="AF510" s="226"/>
      <c r="AG510" s="226" t="str">
        <f>IFERROR(IF(VLOOKUP(功能_33[[#This Row],[功能代號]],E:Q,11,FALSE)=0,"",VLOOKUP(功能_33[[#This Row],[功能代號]],E:Q,11,FALSE)),"")</f>
        <v>鄧雪美</v>
      </c>
      <c r="AH510" s="226"/>
      <c r="AI510" s="226"/>
      <c r="AJ510" s="307"/>
      <c r="AN510" s="307" t="e">
        <f>VLOOKUP(功能_33[[#This Row],[功能代號]],工作表2!B:B,1,FALSE)</f>
        <v>#N/A</v>
      </c>
    </row>
    <row r="511" spans="1:40" ht="14.25" hidden="1" customHeight="1">
      <c r="A511" s="224"/>
      <c r="B511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307" t="s">
        <v>107</v>
      </c>
      <c r="D511" s="224" t="s">
        <v>1375</v>
      </c>
      <c r="E511" s="308" t="s">
        <v>1381</v>
      </c>
      <c r="F511" s="307" t="s">
        <v>2786</v>
      </c>
      <c r="G511" s="307" t="s">
        <v>1378</v>
      </c>
      <c r="H511" s="308" t="s">
        <v>147</v>
      </c>
      <c r="I511" s="308" t="s">
        <v>148</v>
      </c>
      <c r="J511" s="287" t="s">
        <v>2787</v>
      </c>
      <c r="K511" s="406">
        <v>44524</v>
      </c>
      <c r="L511" s="226"/>
      <c r="M511" s="226" t="str">
        <f>IFERROR(IF(VLOOKUP(功能_33[[#This Row],[功能代號]],討論項目!A:H,8,FALSE)=0,"",VLOOKUP(功能_33[[#This Row],[功能代號]],討論項目!A:H,8,FALSE)),"")</f>
        <v/>
      </c>
      <c r="N511" s="308" t="s">
        <v>7</v>
      </c>
      <c r="O511" s="308" t="s">
        <v>2800</v>
      </c>
      <c r="P511" s="308" t="s">
        <v>2801</v>
      </c>
      <c r="T511" s="308"/>
      <c r="V511" s="308"/>
      <c r="W511" s="308"/>
      <c r="X511" s="307" t="str">
        <f>VLOOKUP(功能_33[[#This Row],[User]],SKL放款!A:G,7,FALSE)</f>
        <v>放款管理課</v>
      </c>
      <c r="Y511" s="228" t="str">
        <f>IF(功能_33[[#This Row],[實際展示]]="","",功能_33[[#This Row],[實際展示]]+14)</f>
        <v/>
      </c>
      <c r="Z511" s="226"/>
      <c r="AA511" s="226"/>
      <c r="AB511" s="226"/>
      <c r="AC511" s="226"/>
      <c r="AD511" s="226"/>
      <c r="AE511" s="226"/>
      <c r="AF511" s="226"/>
      <c r="AG511" s="226" t="str">
        <f>IFERROR(IF(VLOOKUP(功能_33[[#This Row],[功能代號]],E:Q,11,FALSE)=0,"",VLOOKUP(功能_33[[#This Row],[功能代號]],E:Q,11,FALSE)),"")</f>
        <v>邱怡婷</v>
      </c>
      <c r="AH511" s="226"/>
      <c r="AI511" s="226"/>
      <c r="AJ511" s="307"/>
      <c r="AN511" s="307" t="e">
        <f>VLOOKUP(功能_33[[#This Row],[功能代號]],工作表2!B:B,1,FALSE)</f>
        <v>#N/A</v>
      </c>
    </row>
    <row r="512" spans="1:40" ht="13.8" hidden="1">
      <c r="A512" s="392"/>
      <c r="B512" s="3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2" s="307" t="s">
        <v>107</v>
      </c>
      <c r="D512" s="289"/>
      <c r="E512" s="308" t="s">
        <v>2421</v>
      </c>
      <c r="F512" s="307" t="s">
        <v>2758</v>
      </c>
      <c r="G512" s="307" t="s">
        <v>2788</v>
      </c>
      <c r="H512" s="308" t="s">
        <v>2761</v>
      </c>
      <c r="I512" s="308" t="s">
        <v>2761</v>
      </c>
      <c r="J512" s="287" t="s">
        <v>2787</v>
      </c>
      <c r="K512" s="406">
        <v>44524</v>
      </c>
      <c r="L512" s="226"/>
      <c r="M512" s="226" t="str">
        <f>IFERROR(IF(VLOOKUP(功能_33[[#This Row],[功能代號]],討論項目!A:H,8,FALSE)=0,"",VLOOKUP(功能_33[[#This Row],[功能代號]],討論項目!A:H,8,FALSE)),"")</f>
        <v/>
      </c>
      <c r="N512" s="394" t="str">
        <f>VLOOKUP(功能_33[[#This Row],[功能代號]],[3]外部輸出入介面!$C:$F,4,FALSE)</f>
        <v>林清河</v>
      </c>
      <c r="O512" s="394" t="s">
        <v>2790</v>
      </c>
      <c r="T512" s="308"/>
      <c r="V512" s="308"/>
      <c r="W512" s="308"/>
      <c r="X512" s="393" t="str">
        <f>VLOOKUP(功能_33[[#This Row],[User]],SKL放款!A:G,7,FALSE)</f>
        <v>放款審查課</v>
      </c>
      <c r="Y512" s="228" t="str">
        <f>IF(功能_33[[#This Row],[實際展示]]="","",功能_33[[#This Row],[實際展示]]+14)</f>
        <v/>
      </c>
      <c r="Z512" s="226"/>
      <c r="AA512" s="226"/>
      <c r="AB512" s="226"/>
      <c r="AC512" s="226"/>
      <c r="AD512" s="226"/>
      <c r="AE512" s="226"/>
      <c r="AF512" s="226"/>
      <c r="AG512" s="226" t="str">
        <f>IFERROR(IF(VLOOKUP(功能_33[[#This Row],[功能代號]],E:Q,11,FALSE)=0,"",VLOOKUP(功能_33[[#This Row],[功能代號]],E:Q,11,FALSE)),"")</f>
        <v>鄧雪美</v>
      </c>
      <c r="AH512" s="226"/>
      <c r="AI512" s="226"/>
      <c r="AJ512" s="393"/>
      <c r="AL512" s="394"/>
      <c r="AM512" s="393"/>
      <c r="AN512" s="307" t="e">
        <f>VLOOKUP(功能_33[[#This Row],[功能代號]],工作表2!B:B,1,FALSE)</f>
        <v>#N/A</v>
      </c>
    </row>
    <row r="513" spans="1:40" ht="13.8" hidden="1">
      <c r="A513" s="392"/>
      <c r="B513" s="3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3" s="307" t="s">
        <v>107</v>
      </c>
      <c r="D513" s="289"/>
      <c r="E513" s="308" t="s">
        <v>2422</v>
      </c>
      <c r="F513" s="307" t="s">
        <v>2759</v>
      </c>
      <c r="G513" s="307" t="s">
        <v>2789</v>
      </c>
      <c r="H513" s="308" t="s">
        <v>2761</v>
      </c>
      <c r="I513" s="308" t="s">
        <v>2761</v>
      </c>
      <c r="J513" s="287" t="s">
        <v>2787</v>
      </c>
      <c r="K513" s="406">
        <v>44524</v>
      </c>
      <c r="L513" s="226"/>
      <c r="M513" s="226" t="str">
        <f>IFERROR(IF(VLOOKUP(功能_33[[#This Row],[功能代號]],討論項目!A:H,8,FALSE)=0,"",VLOOKUP(功能_33[[#This Row],[功能代號]],討論項目!A:H,8,FALSE)),"")</f>
        <v/>
      </c>
      <c r="N513" s="394" t="str">
        <f>VLOOKUP(功能_33[[#This Row],[功能代號]],[3]外部輸出入介面!$C:$F,4,FALSE)</f>
        <v>林清河</v>
      </c>
      <c r="O513" s="394" t="s">
        <v>2790</v>
      </c>
      <c r="T513" s="308"/>
      <c r="V513" s="308"/>
      <c r="W513" s="308"/>
      <c r="X513" s="393" t="str">
        <f>VLOOKUP(功能_33[[#This Row],[User]],SKL放款!A:G,7,FALSE)</f>
        <v>放款審查課</v>
      </c>
      <c r="Y513" s="228" t="str">
        <f>IF(功能_33[[#This Row],[實際展示]]="","",功能_33[[#This Row],[實際展示]]+14)</f>
        <v/>
      </c>
      <c r="Z513" s="226"/>
      <c r="AA513" s="226"/>
      <c r="AB513" s="226"/>
      <c r="AC513" s="226"/>
      <c r="AD513" s="226"/>
      <c r="AE513" s="226"/>
      <c r="AF513" s="226"/>
      <c r="AG513" s="226" t="str">
        <f>IFERROR(IF(VLOOKUP(功能_33[[#This Row],[功能代號]],E:Q,11,FALSE)=0,"",VLOOKUP(功能_33[[#This Row],[功能代號]],E:Q,11,FALSE)),"")</f>
        <v>鄧雪美</v>
      </c>
      <c r="AH513" s="226"/>
      <c r="AI513" s="226"/>
      <c r="AJ513" s="393"/>
      <c r="AL513" s="394"/>
      <c r="AM513" s="393"/>
      <c r="AN513" s="307" t="e">
        <f>VLOOKUP(功能_33[[#This Row],[功能代號]],工作表2!B:B,1,FALSE)</f>
        <v>#N/A</v>
      </c>
    </row>
    <row r="514" spans="1:40" ht="13.8" hidden="1">
      <c r="A514" s="392"/>
      <c r="B514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4" s="307" t="s">
        <v>2784</v>
      </c>
      <c r="D514" s="289"/>
      <c r="E514" s="308" t="s">
        <v>2413</v>
      </c>
      <c r="F514" s="307" t="s">
        <v>2802</v>
      </c>
      <c r="G514" s="307" t="s">
        <v>2760</v>
      </c>
      <c r="H514" s="308" t="s">
        <v>2761</v>
      </c>
      <c r="I514" s="308" t="s">
        <v>2761</v>
      </c>
      <c r="J514" s="287"/>
      <c r="K514" s="406">
        <v>44529</v>
      </c>
      <c r="L514" s="226"/>
      <c r="M514" s="226" t="str">
        <f>IFERROR(IF(VLOOKUP(功能_33[[#This Row],[功能代號]],討論項目!A:H,8,FALSE)=0,"",VLOOKUP(功能_33[[#This Row],[功能代號]],討論項目!A:H,8,FALSE)),"")</f>
        <v/>
      </c>
      <c r="N514" s="394" t="str">
        <f>VLOOKUP(功能_33[[#This Row],[功能代號]],[3]外部輸出入介面!$C:$F,4,FALSE)</f>
        <v>林清河</v>
      </c>
      <c r="O514" s="394" t="str">
        <f>VLOOKUP(功能_33[[#This Row],[功能代號]],[3]外部輸出入介面!$C:$F,3,FALSE)</f>
        <v>張舜雯</v>
      </c>
      <c r="T514" s="308"/>
      <c r="V514" s="308"/>
      <c r="W514" s="308"/>
      <c r="X514" s="393" t="str">
        <f>VLOOKUP(功能_33[[#This Row],[User]],SKL放款!A:G,7,FALSE)</f>
        <v>放款管理課</v>
      </c>
      <c r="Y514" s="228" t="str">
        <f>IF(功能_33[[#This Row],[實際展示]]="","",功能_33[[#This Row],[實際展示]]+14)</f>
        <v/>
      </c>
      <c r="Z514" s="226"/>
      <c r="AA514" s="226"/>
      <c r="AB514" s="226"/>
      <c r="AC514" s="226"/>
      <c r="AD514" s="226"/>
      <c r="AE514" s="226"/>
      <c r="AF514" s="226"/>
      <c r="AG514" s="226" t="str">
        <f>IFERROR(IF(VLOOKUP(功能_33[[#This Row],[功能代號]],E:Q,11,FALSE)=0,"",VLOOKUP(功能_33[[#This Row],[功能代號]],E:Q,11,FALSE)),"")</f>
        <v>張舜雯</v>
      </c>
      <c r="AH514" s="226"/>
      <c r="AI514" s="226"/>
      <c r="AJ514" s="393"/>
      <c r="AL514" s="394"/>
      <c r="AM514" s="393"/>
      <c r="AN514" s="307" t="e">
        <f>VLOOKUP(功能_33[[#This Row],[功能代號]],工作表2!B:B,1,FALSE)</f>
        <v>#N/A</v>
      </c>
    </row>
    <row r="515" spans="1:40" ht="13.8" hidden="1">
      <c r="A515" s="392"/>
      <c r="B515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5" s="307" t="s">
        <v>2784</v>
      </c>
      <c r="D515" s="289"/>
      <c r="E515" s="308" t="s">
        <v>2753</v>
      </c>
      <c r="F515" s="307" t="s">
        <v>2803</v>
      </c>
      <c r="G515" s="307" t="s">
        <v>2760</v>
      </c>
      <c r="H515" s="308" t="s">
        <v>2761</v>
      </c>
      <c r="I515" s="308" t="s">
        <v>2761</v>
      </c>
      <c r="J515" s="287"/>
      <c r="K515" s="406">
        <v>44529</v>
      </c>
      <c r="L515" s="226"/>
      <c r="M515" s="226" t="str">
        <f>IFERROR(IF(VLOOKUP(功能_33[[#This Row],[功能代號]],討論項目!A:H,8,FALSE)=0,"",VLOOKUP(功能_33[[#This Row],[功能代號]],討論項目!A:H,8,FALSE)),"")</f>
        <v/>
      </c>
      <c r="N515" s="394" t="str">
        <f>VLOOKUP(功能_33[[#This Row],[功能代號]],[3]外部輸出入介面!$C:$F,4,FALSE)</f>
        <v>林清河</v>
      </c>
      <c r="O515" s="394" t="str">
        <f>VLOOKUP(功能_33[[#This Row],[功能代號]],[3]外部輸出入介面!$C:$F,3,FALSE)</f>
        <v>張舜雯</v>
      </c>
      <c r="T515" s="308"/>
      <c r="V515" s="308"/>
      <c r="W515" s="308"/>
      <c r="X515" s="393" t="str">
        <f>VLOOKUP(功能_33[[#This Row],[User]],SKL放款!A:G,7,FALSE)</f>
        <v>放款管理課</v>
      </c>
      <c r="Y515" s="228" t="str">
        <f>IF(功能_33[[#This Row],[實際展示]]="","",功能_33[[#This Row],[實際展示]]+14)</f>
        <v/>
      </c>
      <c r="Z515" s="226"/>
      <c r="AA515" s="226"/>
      <c r="AB515" s="226"/>
      <c r="AC515" s="226"/>
      <c r="AD515" s="226"/>
      <c r="AE515" s="226"/>
      <c r="AF515" s="226"/>
      <c r="AG515" s="226" t="str">
        <f>IFERROR(IF(VLOOKUP(功能_33[[#This Row],[功能代號]],E:Q,11,FALSE)=0,"",VLOOKUP(功能_33[[#This Row],[功能代號]],E:Q,11,FALSE)),"")</f>
        <v>張舜雯</v>
      </c>
      <c r="AH515" s="226"/>
      <c r="AI515" s="226"/>
      <c r="AJ515" s="393"/>
      <c r="AL515" s="394"/>
      <c r="AM515" s="393"/>
      <c r="AN515" s="307" t="e">
        <f>VLOOKUP(功能_33[[#This Row],[功能代號]],工作表2!B:B,1,FALSE)</f>
        <v>#N/A</v>
      </c>
    </row>
    <row r="516" spans="1:40" ht="13.8" hidden="1">
      <c r="A516" s="392"/>
      <c r="B516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307" t="s">
        <v>2784</v>
      </c>
      <c r="D516" s="289"/>
      <c r="E516" s="308" t="s">
        <v>2418</v>
      </c>
      <c r="F516" s="307" t="s">
        <v>2698</v>
      </c>
      <c r="G516" s="307" t="s">
        <v>2760</v>
      </c>
      <c r="H516" s="308" t="s">
        <v>2761</v>
      </c>
      <c r="I516" s="308" t="s">
        <v>2761</v>
      </c>
      <c r="J516" s="287"/>
      <c r="K516" s="406">
        <v>44529</v>
      </c>
      <c r="L516" s="226"/>
      <c r="M516" s="226" t="str">
        <f>IFERROR(IF(VLOOKUP(功能_33[[#This Row],[功能代號]],討論項目!A:H,8,FALSE)=0,"",VLOOKUP(功能_33[[#This Row],[功能代號]],討論項目!A:H,8,FALSE)),"")</f>
        <v/>
      </c>
      <c r="N516" s="394" t="str">
        <f>VLOOKUP(功能_33[[#This Row],[功能代號]],[3]外部輸出入介面!$C:$F,4,FALSE)</f>
        <v>林清河</v>
      </c>
      <c r="O516" s="394" t="str">
        <f>VLOOKUP(功能_33[[#This Row],[功能代號]],[3]外部輸出入介面!$C:$F,3,FALSE)</f>
        <v>張舜雯</v>
      </c>
      <c r="T516" s="308"/>
      <c r="V516" s="308"/>
      <c r="W516" s="308"/>
      <c r="X516" s="393" t="str">
        <f>VLOOKUP(功能_33[[#This Row],[User]],SKL放款!A:G,7,FALSE)</f>
        <v>放款管理課</v>
      </c>
      <c r="Y516" s="228" t="str">
        <f>IF(功能_33[[#This Row],[實際展示]]="","",功能_33[[#This Row],[實際展示]]+14)</f>
        <v/>
      </c>
      <c r="Z516" s="226"/>
      <c r="AA516" s="226"/>
      <c r="AB516" s="226"/>
      <c r="AC516" s="226"/>
      <c r="AD516" s="226"/>
      <c r="AE516" s="226"/>
      <c r="AF516" s="226"/>
      <c r="AG516" s="226" t="str">
        <f>IFERROR(IF(VLOOKUP(功能_33[[#This Row],[功能代號]],E:Q,11,FALSE)=0,"",VLOOKUP(功能_33[[#This Row],[功能代號]],E:Q,11,FALSE)),"")</f>
        <v>張舜雯</v>
      </c>
      <c r="AH516" s="226"/>
      <c r="AI516" s="226"/>
      <c r="AJ516" s="393"/>
      <c r="AL516" s="394"/>
      <c r="AM516" s="393"/>
      <c r="AN516" s="307" t="e">
        <f>VLOOKUP(功能_33[[#This Row],[功能代號]],工作表2!B:B,1,FALSE)</f>
        <v>#N/A</v>
      </c>
    </row>
    <row r="517" spans="1:40" ht="13.8" hidden="1">
      <c r="A517" s="392"/>
      <c r="B517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307" t="s">
        <v>2784</v>
      </c>
      <c r="D517" s="289"/>
      <c r="E517" s="308" t="s">
        <v>2754</v>
      </c>
      <c r="F517" s="307" t="s">
        <v>2755</v>
      </c>
      <c r="G517" s="307" t="s">
        <v>2760</v>
      </c>
      <c r="H517" s="308" t="s">
        <v>2761</v>
      </c>
      <c r="I517" s="308" t="s">
        <v>2761</v>
      </c>
      <c r="J517" s="287"/>
      <c r="K517" s="406">
        <v>44529</v>
      </c>
      <c r="L517" s="226"/>
      <c r="M517" s="226" t="str">
        <f>IFERROR(IF(VLOOKUP(功能_33[[#This Row],[功能代號]],討論項目!A:H,8,FALSE)=0,"",VLOOKUP(功能_33[[#This Row],[功能代號]],討論項目!A:H,8,FALSE)),"")</f>
        <v/>
      </c>
      <c r="N517" s="394" t="str">
        <f>VLOOKUP(功能_33[[#This Row],[功能代號]],[3]外部輸出入介面!$C:$F,4,FALSE)</f>
        <v>林清河</v>
      </c>
      <c r="O517" s="394" t="str">
        <f>VLOOKUP(功能_33[[#This Row],[功能代號]],[3]外部輸出入介面!$C:$F,3,FALSE)</f>
        <v>張舜雯</v>
      </c>
      <c r="T517" s="308"/>
      <c r="V517" s="308"/>
      <c r="W517" s="308"/>
      <c r="X517" s="393" t="str">
        <f>VLOOKUP(功能_33[[#This Row],[User]],SKL放款!A:G,7,FALSE)</f>
        <v>放款管理課</v>
      </c>
      <c r="Y517" s="228" t="str">
        <f>IF(功能_33[[#This Row],[實際展示]]="","",功能_33[[#This Row],[實際展示]]+14)</f>
        <v/>
      </c>
      <c r="Z517" s="226"/>
      <c r="AA517" s="226"/>
      <c r="AB517" s="226"/>
      <c r="AC517" s="226"/>
      <c r="AD517" s="226"/>
      <c r="AE517" s="226"/>
      <c r="AF517" s="226"/>
      <c r="AG517" s="226" t="str">
        <f>IFERROR(IF(VLOOKUP(功能_33[[#This Row],[功能代號]],E:Q,11,FALSE)=0,"",VLOOKUP(功能_33[[#This Row],[功能代號]],E:Q,11,FALSE)),"")</f>
        <v>張舜雯</v>
      </c>
      <c r="AH517" s="226"/>
      <c r="AI517" s="226"/>
      <c r="AJ517" s="393"/>
      <c r="AL517" s="394"/>
      <c r="AM517" s="393"/>
      <c r="AN517" s="307" t="e">
        <f>VLOOKUP(功能_33[[#This Row],[功能代號]],工作表2!B:B,1,FALSE)</f>
        <v>#N/A</v>
      </c>
    </row>
    <row r="518" spans="1:40" ht="13.8" hidden="1">
      <c r="A518" s="392"/>
      <c r="B518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307" t="s">
        <v>2784</v>
      </c>
      <c r="D518" s="289"/>
      <c r="E518" s="308" t="s">
        <v>2419</v>
      </c>
      <c r="F518" s="307" t="s">
        <v>2634</v>
      </c>
      <c r="G518" s="307" t="s">
        <v>2760</v>
      </c>
      <c r="H518" s="308" t="s">
        <v>2761</v>
      </c>
      <c r="I518" s="308" t="s">
        <v>2761</v>
      </c>
      <c r="J518" s="287"/>
      <c r="K518" s="406">
        <v>44529</v>
      </c>
      <c r="L518" s="226"/>
      <c r="M518" s="226" t="str">
        <f>IFERROR(IF(VLOOKUP(功能_33[[#This Row],[功能代號]],討論項目!A:H,8,FALSE)=0,"",VLOOKUP(功能_33[[#This Row],[功能代號]],討論項目!A:H,8,FALSE)),"")</f>
        <v/>
      </c>
      <c r="N518" s="394" t="str">
        <f>VLOOKUP(功能_33[[#This Row],[功能代號]],[3]外部輸出入介面!$C:$F,4,FALSE)</f>
        <v>林清河</v>
      </c>
      <c r="O518" s="394" t="str">
        <f>VLOOKUP(功能_33[[#This Row],[功能代號]],[3]外部輸出入介面!$C:$F,3,FALSE)</f>
        <v>張舜雯</v>
      </c>
      <c r="T518" s="308"/>
      <c r="V518" s="308"/>
      <c r="W518" s="308"/>
      <c r="X518" s="393" t="str">
        <f>VLOOKUP(功能_33[[#This Row],[User]],SKL放款!A:G,7,FALSE)</f>
        <v>放款管理課</v>
      </c>
      <c r="Y518" s="228" t="str">
        <f>IF(功能_33[[#This Row],[實際展示]]="","",功能_33[[#This Row],[實際展示]]+14)</f>
        <v/>
      </c>
      <c r="Z518" s="226"/>
      <c r="AA518" s="226"/>
      <c r="AB518" s="226"/>
      <c r="AC518" s="226"/>
      <c r="AD518" s="226"/>
      <c r="AE518" s="226"/>
      <c r="AF518" s="226"/>
      <c r="AG518" s="226" t="str">
        <f>IFERROR(IF(VLOOKUP(功能_33[[#This Row],[功能代號]],E:Q,11,FALSE)=0,"",VLOOKUP(功能_33[[#This Row],[功能代號]],E:Q,11,FALSE)),"")</f>
        <v>張舜雯</v>
      </c>
      <c r="AH518" s="226"/>
      <c r="AI518" s="226"/>
      <c r="AJ518" s="393"/>
      <c r="AL518" s="394"/>
      <c r="AM518" s="393"/>
      <c r="AN518" s="307" t="e">
        <f>VLOOKUP(功能_33[[#This Row],[功能代號]],工作表2!B:B,1,FALSE)</f>
        <v>#N/A</v>
      </c>
    </row>
    <row r="519" spans="1:40" ht="13.8" hidden="1">
      <c r="A519" s="392"/>
      <c r="B519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307" t="s">
        <v>2784</v>
      </c>
      <c r="D519" s="289"/>
      <c r="E519" s="308" t="s">
        <v>2756</v>
      </c>
      <c r="F519" s="307" t="s">
        <v>2757</v>
      </c>
      <c r="G519" s="307" t="s">
        <v>2760</v>
      </c>
      <c r="H519" s="308" t="s">
        <v>2761</v>
      </c>
      <c r="I519" s="308" t="s">
        <v>2761</v>
      </c>
      <c r="J519" s="287"/>
      <c r="K519" s="406">
        <v>44529</v>
      </c>
      <c r="L519" s="226"/>
      <c r="M519" s="226" t="str">
        <f>IFERROR(IF(VLOOKUP(功能_33[[#This Row],[功能代號]],討論項目!A:H,8,FALSE)=0,"",VLOOKUP(功能_33[[#This Row],[功能代號]],討論項目!A:H,8,FALSE)),"")</f>
        <v/>
      </c>
      <c r="N519" s="394" t="str">
        <f>VLOOKUP(功能_33[[#This Row],[功能代號]],[3]外部輸出入介面!$C:$F,4,FALSE)</f>
        <v>林清河</v>
      </c>
      <c r="O519" s="394" t="str">
        <f>VLOOKUP(功能_33[[#This Row],[功能代號]],[3]外部輸出入介面!$C:$F,3,FALSE)</f>
        <v>張舜雯</v>
      </c>
      <c r="T519" s="308"/>
      <c r="V519" s="308"/>
      <c r="W519" s="308"/>
      <c r="X519" s="393" t="str">
        <f>VLOOKUP(功能_33[[#This Row],[User]],SKL放款!A:G,7,FALSE)</f>
        <v>放款管理課</v>
      </c>
      <c r="Y519" s="228" t="str">
        <f>IF(功能_33[[#This Row],[實際展示]]="","",功能_33[[#This Row],[實際展示]]+14)</f>
        <v/>
      </c>
      <c r="Z519" s="226"/>
      <c r="AA519" s="226"/>
      <c r="AB519" s="226"/>
      <c r="AC519" s="226"/>
      <c r="AD519" s="226"/>
      <c r="AE519" s="226"/>
      <c r="AF519" s="226"/>
      <c r="AG519" s="226" t="str">
        <f>IFERROR(IF(VLOOKUP(功能_33[[#This Row],[功能代號]],E:Q,11,FALSE)=0,"",VLOOKUP(功能_33[[#This Row],[功能代號]],E:Q,11,FALSE)),"")</f>
        <v>張舜雯</v>
      </c>
      <c r="AH519" s="226"/>
      <c r="AI519" s="226"/>
      <c r="AJ519" s="393"/>
      <c r="AL519" s="394"/>
      <c r="AM519" s="393"/>
      <c r="AN519" s="307" t="e">
        <f>VLOOKUP(功能_33[[#This Row],[功能代號]],工作表2!B:B,1,FALSE)</f>
        <v>#N/A</v>
      </c>
    </row>
    <row r="520" spans="1:40" ht="13.8" hidden="1">
      <c r="A520" s="392"/>
      <c r="B520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307" t="s">
        <v>2784</v>
      </c>
      <c r="D520" s="289"/>
      <c r="E520" s="308" t="s">
        <v>2415</v>
      </c>
      <c r="F520" s="307" t="s">
        <v>2640</v>
      </c>
      <c r="G520" s="307" t="s">
        <v>2760</v>
      </c>
      <c r="H520" s="308" t="s">
        <v>2761</v>
      </c>
      <c r="I520" s="308" t="s">
        <v>2761</v>
      </c>
      <c r="J520" s="287"/>
      <c r="K520" s="406">
        <v>44529</v>
      </c>
      <c r="L520" s="226"/>
      <c r="M520" s="226" t="str">
        <f>IFERROR(IF(VLOOKUP(功能_33[[#This Row],[功能代號]],討論項目!A:H,8,FALSE)=0,"",VLOOKUP(功能_33[[#This Row],[功能代號]],討論項目!A:H,8,FALSE)),"")</f>
        <v/>
      </c>
      <c r="N520" s="394" t="str">
        <f>VLOOKUP(功能_33[[#This Row],[功能代號]],[3]外部輸出入介面!$C:$F,4,FALSE)</f>
        <v>林清河</v>
      </c>
      <c r="O520" s="394" t="str">
        <f>VLOOKUP(功能_33[[#This Row],[功能代號]],[3]外部輸出入介面!$C:$F,3,FALSE)</f>
        <v>蔡珮瑜</v>
      </c>
      <c r="T520" s="308"/>
      <c r="V520" s="308"/>
      <c r="W520" s="308"/>
      <c r="X520" s="393" t="str">
        <f>VLOOKUP(功能_33[[#This Row],[User]],SKL放款!A:G,7,FALSE)</f>
        <v>放款服務課</v>
      </c>
      <c r="Y520" s="228" t="str">
        <f>IF(功能_33[[#This Row],[實際展示]]="","",功能_33[[#This Row],[實際展示]]+14)</f>
        <v/>
      </c>
      <c r="Z520" s="226"/>
      <c r="AA520" s="226"/>
      <c r="AB520" s="226"/>
      <c r="AC520" s="226"/>
      <c r="AD520" s="226"/>
      <c r="AE520" s="226"/>
      <c r="AF520" s="226"/>
      <c r="AG520" s="226" t="str">
        <f>IFERROR(IF(VLOOKUP(功能_33[[#This Row],[功能代號]],E:Q,11,FALSE)=0,"",VLOOKUP(功能_33[[#This Row],[功能代號]],E:Q,11,FALSE)),"")</f>
        <v>蔡珮瑜</v>
      </c>
      <c r="AH520" s="226"/>
      <c r="AI520" s="226"/>
      <c r="AJ520" s="393"/>
      <c r="AL520" s="394"/>
      <c r="AM520" s="393"/>
      <c r="AN520" s="307" t="e">
        <f>VLOOKUP(功能_33[[#This Row],[功能代號]],工作表2!B:B,1,FALSE)</f>
        <v>#N/A</v>
      </c>
    </row>
    <row r="521" spans="1:40" ht="13.8" hidden="1">
      <c r="A521" s="392"/>
      <c r="B521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307" t="s">
        <v>2784</v>
      </c>
      <c r="D521" s="289"/>
      <c r="E521" s="308" t="s">
        <v>2416</v>
      </c>
      <c r="F521" s="307" t="s">
        <v>2804</v>
      </c>
      <c r="G521" s="307" t="s">
        <v>2760</v>
      </c>
      <c r="H521" s="308" t="s">
        <v>2761</v>
      </c>
      <c r="I521" s="308" t="s">
        <v>2761</v>
      </c>
      <c r="J521" s="287"/>
      <c r="K521" s="406">
        <v>44529</v>
      </c>
      <c r="L521" s="226"/>
      <c r="M521" s="226" t="str">
        <f>IFERROR(IF(VLOOKUP(功能_33[[#This Row],[功能代號]],討論項目!A:H,8,FALSE)=0,"",VLOOKUP(功能_33[[#This Row],[功能代號]],討論項目!A:H,8,FALSE)),"")</f>
        <v/>
      </c>
      <c r="N521" s="394" t="str">
        <f>VLOOKUP(功能_33[[#This Row],[功能代號]],[3]外部輸出入介面!$C:$F,4,FALSE)</f>
        <v>林清河</v>
      </c>
      <c r="O521" s="394" t="str">
        <f>VLOOKUP(功能_33[[#This Row],[功能代號]],[3]外部輸出入介面!$C:$F,3,FALSE)</f>
        <v>張舜雯</v>
      </c>
      <c r="T521" s="308"/>
      <c r="V521" s="308"/>
      <c r="W521" s="308"/>
      <c r="X521" s="393" t="str">
        <f>VLOOKUP(功能_33[[#This Row],[User]],SKL放款!A:G,7,FALSE)</f>
        <v>放款管理課</v>
      </c>
      <c r="Y521" s="228" t="str">
        <f>IF(功能_33[[#This Row],[實際展示]]="","",功能_33[[#This Row],[實際展示]]+14)</f>
        <v/>
      </c>
      <c r="Z521" s="226"/>
      <c r="AA521" s="226"/>
      <c r="AB521" s="226"/>
      <c r="AC521" s="226"/>
      <c r="AD521" s="226"/>
      <c r="AE521" s="226"/>
      <c r="AF521" s="226"/>
      <c r="AG521" s="226" t="str">
        <f>IFERROR(IF(VLOOKUP(功能_33[[#This Row],[功能代號]],E:Q,11,FALSE)=0,"",VLOOKUP(功能_33[[#This Row],[功能代號]],E:Q,11,FALSE)),"")</f>
        <v>張舜雯</v>
      </c>
      <c r="AH521" s="226"/>
      <c r="AI521" s="226"/>
      <c r="AJ521" s="393"/>
      <c r="AL521" s="394"/>
      <c r="AM521" s="393"/>
      <c r="AN521" s="307" t="e">
        <f>VLOOKUP(功能_33[[#This Row],[功能代號]],工作表2!B:B,1,FALSE)</f>
        <v>#N/A</v>
      </c>
    </row>
    <row r="522" spans="1:40" ht="13.8" hidden="1">
      <c r="A522" s="392"/>
      <c r="B522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307" t="s">
        <v>2784</v>
      </c>
      <c r="D522" s="289"/>
      <c r="E522" s="308" t="s">
        <v>2417</v>
      </c>
      <c r="F522" s="307" t="s">
        <v>2805</v>
      </c>
      <c r="G522" s="307" t="s">
        <v>2760</v>
      </c>
      <c r="H522" s="308" t="s">
        <v>2761</v>
      </c>
      <c r="I522" s="308" t="s">
        <v>2761</v>
      </c>
      <c r="J522" s="287"/>
      <c r="K522" s="406">
        <v>44529</v>
      </c>
      <c r="L522" s="226"/>
      <c r="M522" s="226" t="str">
        <f>IFERROR(IF(VLOOKUP(功能_33[[#This Row],[功能代號]],討論項目!A:H,8,FALSE)=0,"",VLOOKUP(功能_33[[#This Row],[功能代號]],討論項目!A:H,8,FALSE)),"")</f>
        <v/>
      </c>
      <c r="N522" s="394" t="str">
        <f>VLOOKUP(功能_33[[#This Row],[功能代號]],[3]外部輸出入介面!$C:$F,4,FALSE)</f>
        <v>林清河</v>
      </c>
      <c r="O522" s="394" t="str">
        <f>VLOOKUP(功能_33[[#This Row],[功能代號]],[3]外部輸出入介面!$C:$F,3,FALSE)</f>
        <v>蔡珮瑜</v>
      </c>
      <c r="T522" s="308"/>
      <c r="V522" s="308"/>
      <c r="W522" s="308"/>
      <c r="X522" s="393" t="str">
        <f>VLOOKUP(功能_33[[#This Row],[User]],SKL放款!A:G,7,FALSE)</f>
        <v>放款服務課</v>
      </c>
      <c r="Y522" s="228" t="str">
        <f>IF(功能_33[[#This Row],[實際展示]]="","",功能_33[[#This Row],[實際展示]]+14)</f>
        <v/>
      </c>
      <c r="Z522" s="226"/>
      <c r="AA522" s="226"/>
      <c r="AB522" s="226"/>
      <c r="AC522" s="226"/>
      <c r="AD522" s="226"/>
      <c r="AE522" s="226"/>
      <c r="AF522" s="226"/>
      <c r="AG522" s="226" t="str">
        <f>IFERROR(IF(VLOOKUP(功能_33[[#This Row],[功能代號]],E:Q,11,FALSE)=0,"",VLOOKUP(功能_33[[#This Row],[功能代號]],E:Q,11,FALSE)),"")</f>
        <v>蔡珮瑜</v>
      </c>
      <c r="AH522" s="226"/>
      <c r="AI522" s="226"/>
      <c r="AJ522" s="393"/>
      <c r="AL522" s="394"/>
      <c r="AM522" s="393"/>
      <c r="AN522" s="307" t="e">
        <f>VLOOKUP(功能_33[[#This Row],[功能代號]],工作表2!B:B,1,FALSE)</f>
        <v>#N/A</v>
      </c>
    </row>
    <row r="523" spans="1:40" ht="13.8" hidden="1">
      <c r="A523" s="392"/>
      <c r="B523" s="3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3" s="307" t="s">
        <v>2784</v>
      </c>
      <c r="D523" s="289"/>
      <c r="E523" s="308" t="s">
        <v>2767</v>
      </c>
      <c r="F523" s="290" t="s">
        <v>2622</v>
      </c>
      <c r="G523" s="307" t="s">
        <v>2768</v>
      </c>
      <c r="H523" s="308" t="s">
        <v>2770</v>
      </c>
      <c r="I523" s="308" t="s">
        <v>2769</v>
      </c>
      <c r="J523" s="405" t="s">
        <v>2787</v>
      </c>
      <c r="K523" s="406">
        <v>44524</v>
      </c>
      <c r="L523" s="226"/>
      <c r="M523" s="226" t="str">
        <f>IFERROR(IF(VLOOKUP(功能_33[[#This Row],[功能代號]],討論項目!A:H,8,FALSE)=0,"",VLOOKUP(功能_33[[#This Row],[功能代號]],討論項目!A:H,8,FALSE)),"")</f>
        <v/>
      </c>
      <c r="N523" s="394" t="s">
        <v>2771</v>
      </c>
      <c r="O523" s="394" t="s">
        <v>2772</v>
      </c>
      <c r="T523" s="308"/>
      <c r="V523" s="308"/>
      <c r="W523" s="308"/>
      <c r="X523" s="393" t="str">
        <f>VLOOKUP(功能_33[[#This Row],[User]],SKL放款!A:G,7,FALSE)</f>
        <v>放款審查課</v>
      </c>
      <c r="Y523" s="228" t="str">
        <f>IF(功能_33[[#This Row],[實際展示]]="","",功能_33[[#This Row],[實際展示]]+14)</f>
        <v/>
      </c>
      <c r="Z523" s="226"/>
      <c r="AA523" s="226"/>
      <c r="AB523" s="226"/>
      <c r="AC523" s="226"/>
      <c r="AD523" s="226"/>
      <c r="AE523" s="226"/>
      <c r="AF523" s="226"/>
      <c r="AG523" s="226" t="str">
        <f>IFERROR(IF(VLOOKUP(功能_33[[#This Row],[功能代號]],E:Q,11,FALSE)=0,"",VLOOKUP(功能_33[[#This Row],[功能代號]],E:Q,11,FALSE)),"")</f>
        <v>施美娟</v>
      </c>
      <c r="AH523" s="226"/>
      <c r="AI523" s="226"/>
      <c r="AJ523" s="393"/>
      <c r="AL523" s="394" t="e">
        <f>VLOOKUP(功能_33[[#This Row],[功能代號]],'[4]20211001'!$A:$J,8,FALSE)</f>
        <v>#N/A</v>
      </c>
      <c r="AM523" s="393" t="e">
        <f>VLOOKUP(功能_33[[#This Row],[功能代號]],'[4]20211001'!$A:$J,9,FALSE)</f>
        <v>#N/A</v>
      </c>
      <c r="AN523" s="307" t="e">
        <f>VLOOKUP(功能_33[[#This Row],[功能代號]],工作表2!B:B,1,FALSE)</f>
        <v>#N/A</v>
      </c>
    </row>
    <row r="524" spans="1:40">
      <c r="Z524" s="226"/>
      <c r="AA524" s="226"/>
      <c r="AH524" s="226"/>
      <c r="AI524" s="226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8"/>
  <sheetViews>
    <sheetView topLeftCell="A10" workbookViewId="0">
      <selection activeCell="E29" sqref="E29"/>
    </sheetView>
  </sheetViews>
  <sheetFormatPr defaultColWidth="8.75" defaultRowHeight="15"/>
  <cols>
    <col min="1" max="1" width="12.625" style="170" bestFit="1" customWidth="1"/>
    <col min="2" max="2" width="3.25" style="168" bestFit="1" customWidth="1"/>
    <col min="3" max="3" width="3.375" style="168" bestFit="1" customWidth="1"/>
    <col min="4" max="4" width="15.875" style="168" bestFit="1" customWidth="1"/>
    <col min="5" max="5" width="28.875" style="168" bestFit="1" customWidth="1"/>
    <col min="6" max="6" width="6.375" style="168" bestFit="1" customWidth="1"/>
    <col min="7" max="7" width="27.75" style="168" bestFit="1" customWidth="1"/>
    <col min="8" max="8" width="37.625" style="168" bestFit="1" customWidth="1"/>
    <col min="9" max="10" width="7.375" style="168" bestFit="1" customWidth="1"/>
    <col min="11" max="11" width="11.375" style="168" bestFit="1" customWidth="1"/>
    <col min="12" max="12" width="12.75" style="168" bestFit="1" customWidth="1"/>
    <col min="13" max="13" width="8.75" style="168" customWidth="1"/>
    <col min="14" max="15" width="11.375" style="168" bestFit="1" customWidth="1"/>
    <col min="16" max="17" width="7.375" style="168" bestFit="1" customWidth="1"/>
    <col min="18" max="18" width="10.25" style="168" bestFit="1" customWidth="1"/>
    <col min="19" max="25" width="8.75" style="168" customWidth="1"/>
    <col min="26" max="26" width="11.375" style="168" bestFit="1" customWidth="1"/>
    <col min="27" max="27" width="10.25" style="168" bestFit="1" customWidth="1"/>
    <col min="28" max="31" width="11.375" style="168" bestFit="1" customWidth="1"/>
    <col min="32" max="32" width="5.375" style="168" bestFit="1" customWidth="1"/>
    <col min="33" max="33" width="3.75" style="168" bestFit="1" customWidth="1"/>
    <col min="34" max="34" width="6.375" style="168" bestFit="1" customWidth="1"/>
    <col min="35" max="35" width="8.875" style="168" bestFit="1" customWidth="1"/>
    <col min="36" max="38" width="8.75" style="168" customWidth="1"/>
    <col min="39" max="16384" width="8.75" style="168"/>
  </cols>
  <sheetData>
    <row r="1" spans="1:57">
      <c r="A1" s="170" t="s">
        <v>1382</v>
      </c>
      <c r="R1" s="168" t="s">
        <v>1383</v>
      </c>
    </row>
    <row r="2" spans="1:57" s="259" customFormat="1" ht="14.25" customHeight="1">
      <c r="A2" s="170">
        <v>44456</v>
      </c>
      <c r="B2" s="137">
        <v>11</v>
      </c>
      <c r="C2" s="138" t="str">
        <f>LEFT(功能_33[[#This Row],[功能代號]],2)</f>
        <v>L1</v>
      </c>
      <c r="D2" s="138" t="s">
        <v>101</v>
      </c>
      <c r="E2" s="138" t="s">
        <v>1384</v>
      </c>
      <c r="F2" s="1" t="s">
        <v>1385</v>
      </c>
      <c r="G2" s="44" t="s">
        <v>1386</v>
      </c>
      <c r="H2" s="138" t="s">
        <v>1387</v>
      </c>
      <c r="I2" s="1" t="s">
        <v>203</v>
      </c>
      <c r="J2" s="1" t="s">
        <v>148</v>
      </c>
      <c r="K2" s="146">
        <v>44403</v>
      </c>
      <c r="L2" s="146"/>
      <c r="M2" s="146"/>
      <c r="N2" s="146">
        <v>44403</v>
      </c>
      <c r="O2" s="146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180</v>
      </c>
      <c r="R2" s="138" t="s">
        <v>1388</v>
      </c>
      <c r="S2" s="1"/>
      <c r="T2" s="1"/>
      <c r="U2" s="1"/>
      <c r="V2" s="1"/>
      <c r="W2" s="1"/>
      <c r="X2" s="1"/>
      <c r="Y2" s="1"/>
      <c r="Z2" s="138" t="str">
        <f>VLOOKUP(功能_33[[#This Row],[User]],SKL放款!A:G,7,FALSE)</f>
        <v>放款推展課</v>
      </c>
      <c r="AA2" s="136">
        <f>IF(功能_33[[#This Row],[實際展示]]="","",功能_33[[#This Row],[實際展示]]+14)</f>
        <v>44413</v>
      </c>
      <c r="AB2" s="147">
        <v>44468</v>
      </c>
      <c r="AC2" s="136">
        <f>IF(功能_33[[#This Row],[實際展示]]="","",功能_33[[#This Row],[實際展示]]+21)</f>
        <v>44420</v>
      </c>
      <c r="AD2" s="136"/>
      <c r="AE2" s="138"/>
      <c r="AF2" s="136" t="str">
        <f>IFERROR(IF(VLOOKUP(功能_33[[#This Row],[功能代號]],Menu!A:D,4,FALSE)=0,"",VLOOKUP(功能_33[[#This Row],[功能代號]],Menu!A:D,4,FALSE)),"")</f>
        <v>L1-1</v>
      </c>
      <c r="AG2" s="138">
        <v>11</v>
      </c>
      <c r="AH2" s="138" t="str">
        <f>VLOOKUP(功能_33[[#This Row],[功能代號]],[5]交易清單!$E:$E,1,FALSE)</f>
        <v>L1001</v>
      </c>
    </row>
    <row r="3" spans="1:57" s="259" customFormat="1" ht="14.25" customHeight="1">
      <c r="A3" s="170">
        <v>44456</v>
      </c>
      <c r="B3" s="137">
        <v>12</v>
      </c>
      <c r="C3" s="138" t="str">
        <f>LEFT(功能_33[[#This Row],[功能代號]],2)</f>
        <v>L1</v>
      </c>
      <c r="D3" s="138" t="s">
        <v>101</v>
      </c>
      <c r="E3" s="138" t="s">
        <v>1384</v>
      </c>
      <c r="F3" s="1" t="s">
        <v>1389</v>
      </c>
      <c r="G3" s="44" t="s">
        <v>1386</v>
      </c>
      <c r="H3" s="138" t="s">
        <v>1390</v>
      </c>
      <c r="I3" s="1" t="s">
        <v>203</v>
      </c>
      <c r="J3" s="1" t="s">
        <v>148</v>
      </c>
      <c r="K3" s="146">
        <v>44403</v>
      </c>
      <c r="L3" s="146"/>
      <c r="M3" s="146"/>
      <c r="N3" s="146">
        <v>44403</v>
      </c>
      <c r="O3" s="146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180</v>
      </c>
      <c r="R3" s="138" t="s">
        <v>1391</v>
      </c>
      <c r="S3" s="1"/>
      <c r="T3" s="1"/>
      <c r="U3" s="1"/>
      <c r="V3" s="1"/>
      <c r="W3" s="1"/>
      <c r="X3" s="1"/>
      <c r="Y3" s="1"/>
      <c r="Z3" s="138" t="str">
        <f>VLOOKUP(功能_33[[#This Row],[User]],SKL放款!A:G,7,FALSE)</f>
        <v>放款推展課</v>
      </c>
      <c r="AA3" s="136">
        <f>IF(功能_33[[#This Row],[實際展示]]="","",功能_33[[#This Row],[實際展示]]+14)</f>
        <v>44413</v>
      </c>
      <c r="AB3" s="147">
        <v>44468</v>
      </c>
      <c r="AC3" s="136">
        <f>IF(功能_33[[#This Row],[實際展示]]="","",功能_33[[#This Row],[實際展示]]+21)</f>
        <v>44420</v>
      </c>
      <c r="AD3" s="136"/>
      <c r="AE3" s="138"/>
      <c r="AF3" s="148" t="str">
        <f>AF2</f>
        <v>L1-1</v>
      </c>
      <c r="AG3" s="138">
        <v>12</v>
      </c>
      <c r="AH3" s="138" t="str">
        <f>VLOOKUP(功能_33[[#This Row],[功能代號]],[5]交易清單!$E:$E,1,FALSE)</f>
        <v>L1101</v>
      </c>
    </row>
    <row r="4" spans="1:57">
      <c r="A4" s="170">
        <v>44495</v>
      </c>
      <c r="B4" s="137">
        <v>366</v>
      </c>
      <c r="C4" s="138" t="str">
        <f>LEFT(功能_33[[#This Row],[功能代號]],2)</f>
        <v>L1</v>
      </c>
      <c r="D4" s="138" t="s">
        <v>107</v>
      </c>
      <c r="E4" s="138"/>
      <c r="F4" s="1" t="s">
        <v>1392</v>
      </c>
      <c r="G4" s="138" t="s">
        <v>1393</v>
      </c>
      <c r="H4" s="138" t="s">
        <v>1394</v>
      </c>
      <c r="I4" s="1" t="s">
        <v>203</v>
      </c>
      <c r="J4" s="1" t="s">
        <v>330</v>
      </c>
      <c r="K4" s="172"/>
      <c r="L4" s="146"/>
      <c r="M4" s="171"/>
      <c r="N4" s="146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8"/>
      <c r="R4" s="1"/>
      <c r="S4" s="1"/>
      <c r="T4" s="1"/>
      <c r="U4" s="1"/>
      <c r="V4" s="1"/>
      <c r="W4" s="1"/>
      <c r="X4" s="1"/>
      <c r="Y4" s="138" t="e">
        <f>VLOOKUP(功能_33[[#This Row],[User]],SKL放款!B:H,7,FALSE)</f>
        <v>#N/A</v>
      </c>
      <c r="Z4" s="136">
        <f>IF(功能_33[[#This Row],[實際展示]]="","",功能_33[[#This Row],[實際展示]]+14)</f>
        <v>44417</v>
      </c>
      <c r="AA4" s="136"/>
      <c r="AB4" s="146">
        <f>IF(功能_33[[#This Row],[URS交二審]]=0,"",功能_33[[#This Row],[URS交二審]]+7)</f>
        <v>44470</v>
      </c>
      <c r="AC4" s="142"/>
      <c r="AD4" s="142"/>
      <c r="AE4" s="142"/>
      <c r="AF4" s="358"/>
      <c r="AG4" s="142" t="str">
        <f>IFERROR(IF(VLOOKUP(功能_33[[#This Row],[功能代號]],Menu!B:E,4,FALSE)=0,"",VLOOKUP(功能_33[[#This Row],[功能代號]],Menu!B:E,4,FALSE)),"")</f>
        <v/>
      </c>
      <c r="AH4" s="142"/>
      <c r="AI4" s="138" t="str">
        <f>VLOOKUP(功能_33[[#This Row],[功能代號]],[5]交易清單!$E:$E,1,FALSE)</f>
        <v>L1102</v>
      </c>
      <c r="AJ4" s="142"/>
      <c r="AK4" s="148" t="e">
        <f>#REF!</f>
        <v>#REF!</v>
      </c>
      <c r="AL4" s="138"/>
    </row>
    <row r="5" spans="1:57" s="259" customFormat="1" ht="14.25" customHeight="1">
      <c r="A5" s="170">
        <v>44508</v>
      </c>
      <c r="B5" s="137">
        <v>207</v>
      </c>
      <c r="C5" s="138" t="s">
        <v>1395</v>
      </c>
      <c r="D5" s="138" t="s">
        <v>103</v>
      </c>
      <c r="E5" s="138"/>
      <c r="F5" s="1" t="s">
        <v>1396</v>
      </c>
      <c r="G5" s="44" t="s">
        <v>1397</v>
      </c>
      <c r="H5" s="138" t="s">
        <v>1398</v>
      </c>
      <c r="I5" s="1" t="s">
        <v>203</v>
      </c>
      <c r="J5" s="1" t="s">
        <v>204</v>
      </c>
      <c r="K5" s="146"/>
      <c r="L5" s="146">
        <v>44452</v>
      </c>
      <c r="M5" s="146">
        <v>44452</v>
      </c>
      <c r="N5" s="146">
        <v>44487</v>
      </c>
      <c r="O5" s="146" t="s">
        <v>8</v>
      </c>
      <c r="P5" s="1" t="s">
        <v>24</v>
      </c>
      <c r="Q5" s="1"/>
      <c r="R5" s="138" t="s">
        <v>1399</v>
      </c>
      <c r="S5" s="1"/>
      <c r="T5" s="1">
        <v>44496</v>
      </c>
      <c r="U5" s="1">
        <v>44496</v>
      </c>
      <c r="V5" s="1"/>
      <c r="W5" s="1"/>
      <c r="X5" s="1"/>
      <c r="Y5" s="1"/>
      <c r="Z5" s="138" t="s">
        <v>24</v>
      </c>
      <c r="AA5" s="136"/>
      <c r="AB5" s="147"/>
      <c r="AC5" s="136"/>
      <c r="AD5" s="136"/>
      <c r="AE5" s="138"/>
      <c r="AF5" s="136"/>
      <c r="AG5" s="138" t="e">
        <v>#N/A</v>
      </c>
      <c r="AH5" s="138"/>
    </row>
    <row r="6" spans="1:57">
      <c r="A6" s="170">
        <v>44509</v>
      </c>
      <c r="B6" s="224">
        <v>43</v>
      </c>
      <c r="C6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07" t="s">
        <v>102</v>
      </c>
      <c r="E6" s="307" t="s">
        <v>274</v>
      </c>
      <c r="F6" s="308" t="s">
        <v>1400</v>
      </c>
      <c r="G6" s="307" t="s">
        <v>1401</v>
      </c>
      <c r="H6" s="138" t="s">
        <v>1402</v>
      </c>
      <c r="I6" s="308" t="s">
        <v>203</v>
      </c>
      <c r="J6" s="308" t="s">
        <v>204</v>
      </c>
      <c r="K6" s="229"/>
      <c r="L6" s="226">
        <v>44432</v>
      </c>
      <c r="M6" s="226">
        <v>44432</v>
      </c>
      <c r="N6" s="226" t="str">
        <f>IFERROR(IF(VLOOKUP(功能_33[[#This Row],[功能代號]],討論項目!B:I,8,FALSE)=0,"",VLOOKUP(功能_33[[#This Row],[功能代號]],討論項目!B:I,8,FALSE)),"")</f>
        <v/>
      </c>
      <c r="O6" s="308" t="s">
        <v>10</v>
      </c>
      <c r="P6" s="308" t="s">
        <v>13</v>
      </c>
      <c r="Q6" s="277" t="s">
        <v>240</v>
      </c>
      <c r="R6" s="308"/>
      <c r="S6" s="308"/>
      <c r="T6" s="308"/>
      <c r="U6" s="308"/>
      <c r="V6" s="308"/>
      <c r="W6" s="308"/>
      <c r="X6" s="308"/>
      <c r="Y6" s="307" t="e">
        <f>VLOOKUP(功能_33[[#This Row],[User]],SKL放款!B:H,7,FALSE)</f>
        <v>#N/A</v>
      </c>
      <c r="Z6" s="228">
        <f>IF(功能_33[[#This Row],[實際展示]]="","",功能_33[[#This Row],[實際展示]]+14)</f>
        <v>44417</v>
      </c>
      <c r="AA6" s="228"/>
      <c r="AB6" s="226">
        <v>44515</v>
      </c>
      <c r="AC6" s="226" t="s">
        <v>213</v>
      </c>
      <c r="AD6" s="226"/>
      <c r="AE6" s="226"/>
      <c r="AF6" s="226"/>
      <c r="AG6" s="355"/>
      <c r="AH6" s="226" t="str">
        <f>IFERROR(IF(VLOOKUP(功能_33[[#This Row],[功能代號]],F:R,11,FALSE)=0,"",VLOOKUP(功能_33[[#This Row],[功能代號]],F:R,11,FALSE)),"")</f>
        <v/>
      </c>
      <c r="AI6" s="226"/>
      <c r="AJ6" s="226"/>
      <c r="AK6" s="307"/>
      <c r="AL6" s="228"/>
      <c r="AM6" s="308"/>
      <c r="AN6" s="307"/>
      <c r="AO6" s="307" t="e">
        <f>VLOOKUP(功能_33[[#This Row],[功能代號]],#REF!,1,FALSE)</f>
        <v>#REF!</v>
      </c>
    </row>
    <row r="7" spans="1:57">
      <c r="A7" s="170">
        <v>44509</v>
      </c>
      <c r="B7" s="224">
        <v>46</v>
      </c>
      <c r="C7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07" t="s">
        <v>102</v>
      </c>
      <c r="E7" s="307" t="s">
        <v>274</v>
      </c>
      <c r="F7" s="308" t="s">
        <v>1403</v>
      </c>
      <c r="G7" s="307" t="s">
        <v>1404</v>
      </c>
      <c r="H7" s="138" t="s">
        <v>1402</v>
      </c>
      <c r="I7" s="308" t="s">
        <v>203</v>
      </c>
      <c r="J7" s="308" t="s">
        <v>204</v>
      </c>
      <c r="K7" s="229"/>
      <c r="L7" s="226">
        <v>44432</v>
      </c>
      <c r="M7" s="226">
        <v>44432</v>
      </c>
      <c r="N7" s="226" t="str">
        <f>IFERROR(IF(VLOOKUP(功能_33[[#This Row],[功能代號]],討論項目!B:I,8,FALSE)=0,"",VLOOKUP(功能_33[[#This Row],[功能代號]],討論項目!B:I,8,FALSE)),"")</f>
        <v/>
      </c>
      <c r="O7" s="308" t="s">
        <v>10</v>
      </c>
      <c r="P7" s="308" t="s">
        <v>13</v>
      </c>
      <c r="Q7" s="277" t="s">
        <v>240</v>
      </c>
      <c r="R7" s="308"/>
      <c r="S7" s="308"/>
      <c r="T7" s="308"/>
      <c r="U7" s="308"/>
      <c r="V7" s="308"/>
      <c r="W7" s="308"/>
      <c r="X7" s="308"/>
      <c r="Y7" s="307" t="e">
        <f>VLOOKUP(功能_33[[#This Row],[User]],SKL放款!B:H,7,FALSE)</f>
        <v>#N/A</v>
      </c>
      <c r="Z7" s="228">
        <f>IF(功能_33[[#This Row],[實際展示]]="","",功能_33[[#This Row],[實際展示]]+14)</f>
        <v>44475</v>
      </c>
      <c r="AA7" s="228"/>
      <c r="AB7" s="226">
        <v>44515</v>
      </c>
      <c r="AC7" s="226" t="s">
        <v>213</v>
      </c>
      <c r="AD7" s="226"/>
      <c r="AE7" s="226"/>
      <c r="AF7" s="226"/>
      <c r="AG7" s="355"/>
      <c r="AH7" s="226" t="str">
        <f>IFERROR(IF(VLOOKUP(功能_33[[#This Row],[功能代號]],F:R,11,FALSE)=0,"",VLOOKUP(功能_33[[#This Row],[功能代號]],F:R,11,FALSE)),"")</f>
        <v/>
      </c>
      <c r="AI7" s="226"/>
      <c r="AJ7" s="226"/>
      <c r="AK7" s="307"/>
      <c r="AL7" s="228"/>
      <c r="AM7" s="308"/>
      <c r="AN7" s="307"/>
      <c r="AO7" s="307" t="e">
        <f>VLOOKUP(功能_33[[#This Row],[功能代號]],#REF!,1,FALSE)</f>
        <v>#REF!</v>
      </c>
    </row>
    <row r="8" spans="1:57">
      <c r="A8" s="170">
        <v>44509</v>
      </c>
      <c r="B8" s="224">
        <v>58</v>
      </c>
      <c r="C8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07" t="s">
        <v>102</v>
      </c>
      <c r="E8" s="307" t="s">
        <v>274</v>
      </c>
      <c r="F8" s="308" t="s">
        <v>1405</v>
      </c>
      <c r="G8" s="307" t="s">
        <v>1406</v>
      </c>
      <c r="H8" s="307" t="s">
        <v>1407</v>
      </c>
      <c r="I8" s="308" t="s">
        <v>203</v>
      </c>
      <c r="J8" s="308" t="s">
        <v>204</v>
      </c>
      <c r="K8" s="229"/>
      <c r="L8" s="226">
        <v>44434</v>
      </c>
      <c r="M8" s="226">
        <v>44433</v>
      </c>
      <c r="N8" s="226" t="str">
        <f>IFERROR(IF(VLOOKUP(功能_33[[#This Row],[功能代號]],討論項目!B:I,8,FALSE)=0,"",VLOOKUP(功能_33[[#This Row],[功能代號]],討論項目!B:I,8,FALSE)),"")</f>
        <v/>
      </c>
      <c r="O8" s="308" t="s">
        <v>10</v>
      </c>
      <c r="P8" s="308" t="s">
        <v>13</v>
      </c>
      <c r="Q8" s="277" t="s">
        <v>240</v>
      </c>
      <c r="R8" s="308"/>
      <c r="S8" s="308"/>
      <c r="T8" s="308"/>
      <c r="U8" s="308"/>
      <c r="V8" s="308"/>
      <c r="W8" s="308"/>
      <c r="X8" s="308"/>
      <c r="Y8" s="307" t="e">
        <f>VLOOKUP(功能_33[[#This Row],[User]],SKL放款!B:H,7,FALSE)</f>
        <v>#N/A</v>
      </c>
      <c r="Z8" s="228">
        <f>IF(功能_33[[#This Row],[實際展示]]="","",功能_33[[#This Row],[實際展示]]+14)</f>
        <v>44475</v>
      </c>
      <c r="AA8" s="228"/>
      <c r="AB8" s="226">
        <v>44515</v>
      </c>
      <c r="AC8" s="226" t="s">
        <v>213</v>
      </c>
      <c r="AD8" s="226"/>
      <c r="AE8" s="226"/>
      <c r="AF8" s="226"/>
      <c r="AG8" s="355"/>
      <c r="AH8" s="226" t="str">
        <f>IFERROR(IF(VLOOKUP(功能_33[[#This Row],[功能代號]],F:R,11,FALSE)=0,"",VLOOKUP(功能_33[[#This Row],[功能代號]],F:R,11,FALSE)),"")</f>
        <v/>
      </c>
      <c r="AI8" s="226"/>
      <c r="AJ8" s="226"/>
      <c r="AK8" s="307"/>
      <c r="AL8" s="228"/>
      <c r="AM8" s="308"/>
      <c r="AN8" s="307"/>
      <c r="AO8" s="307" t="e">
        <f>VLOOKUP(功能_33[[#This Row],[功能代號]],#REF!,1,FALSE)</f>
        <v>#REF!</v>
      </c>
    </row>
    <row r="9" spans="1:57">
      <c r="A9" s="170">
        <v>44509</v>
      </c>
      <c r="B9" s="224">
        <v>51</v>
      </c>
      <c r="C9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07" t="s">
        <v>102</v>
      </c>
      <c r="E9" s="307" t="s">
        <v>274</v>
      </c>
      <c r="F9" s="308" t="s">
        <v>1408</v>
      </c>
      <c r="G9" s="307" t="s">
        <v>1409</v>
      </c>
      <c r="H9" s="307" t="s">
        <v>1410</v>
      </c>
      <c r="I9" s="308" t="s">
        <v>203</v>
      </c>
      <c r="J9" s="308" t="s">
        <v>204</v>
      </c>
      <c r="K9" s="229"/>
      <c r="L9" s="226">
        <v>44433</v>
      </c>
      <c r="M9" s="226">
        <v>44433</v>
      </c>
      <c r="N9" s="226" t="str">
        <f>IFERROR(IF(VLOOKUP(功能_33[[#This Row],[功能代號]],討論項目!B:I,8,FALSE)=0,"",VLOOKUP(功能_33[[#This Row],[功能代號]],討論項目!B:I,8,FALSE)),"")</f>
        <v/>
      </c>
      <c r="O9" s="308" t="s">
        <v>10</v>
      </c>
      <c r="P9" s="308" t="s">
        <v>13</v>
      </c>
      <c r="Q9" s="277" t="s">
        <v>240</v>
      </c>
      <c r="R9" s="308"/>
      <c r="S9" s="308"/>
      <c r="T9" s="308"/>
      <c r="U9" s="308"/>
      <c r="V9" s="308"/>
      <c r="W9" s="308"/>
      <c r="X9" s="308"/>
      <c r="Y9" s="307" t="e">
        <f>VLOOKUP(功能_33[[#This Row],[User]],SKL放款!B:H,7,FALSE)</f>
        <v>#N/A</v>
      </c>
      <c r="Z9" s="228">
        <f>IF(功能_33[[#This Row],[實際展示]]="","",功能_33[[#This Row],[實際展示]]+14)</f>
        <v>44413</v>
      </c>
      <c r="AA9" s="228"/>
      <c r="AB9" s="226">
        <v>44515</v>
      </c>
      <c r="AC9" s="226" t="s">
        <v>213</v>
      </c>
      <c r="AD9" s="226"/>
      <c r="AE9" s="226"/>
      <c r="AF9" s="226"/>
      <c r="AG9" s="355"/>
      <c r="AH9" s="226" t="str">
        <f>IFERROR(IF(VLOOKUP(功能_33[[#This Row],[功能代號]],F:R,11,FALSE)=0,"",VLOOKUP(功能_33[[#This Row],[功能代號]],F:R,11,FALSE)),"")</f>
        <v/>
      </c>
      <c r="AI9" s="226"/>
      <c r="AJ9" s="226"/>
      <c r="AK9" s="307"/>
      <c r="AL9" s="228"/>
      <c r="AM9" s="308"/>
      <c r="AN9" s="307"/>
      <c r="AO9" s="307" t="e">
        <f>VLOOKUP(功能_33[[#This Row],[功能代號]],#REF!,1,FALSE)</f>
        <v>#REF!</v>
      </c>
      <c r="AP9" s="227"/>
      <c r="AQ9" s="227"/>
      <c r="AR9" s="227"/>
    </row>
    <row r="10" spans="1:57">
      <c r="A10" s="170">
        <v>44509</v>
      </c>
      <c r="B10" s="224">
        <v>54</v>
      </c>
      <c r="C10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07" t="s">
        <v>102</v>
      </c>
      <c r="E10" s="307" t="s">
        <v>274</v>
      </c>
      <c r="F10" s="308" t="s">
        <v>1411</v>
      </c>
      <c r="G10" s="307" t="s">
        <v>1412</v>
      </c>
      <c r="H10" s="307" t="s">
        <v>1407</v>
      </c>
      <c r="I10" s="308" t="s">
        <v>203</v>
      </c>
      <c r="J10" s="308" t="s">
        <v>204</v>
      </c>
      <c r="K10" s="229"/>
      <c r="L10" s="226">
        <v>44434</v>
      </c>
      <c r="M10" s="226">
        <v>44433</v>
      </c>
      <c r="N10" s="226" t="str">
        <f>IFERROR(IF(VLOOKUP(功能_33[[#This Row],[功能代號]],討論項目!B:I,8,FALSE)=0,"",VLOOKUP(功能_33[[#This Row],[功能代號]],討論項目!B:I,8,FALSE)),"")</f>
        <v/>
      </c>
      <c r="O10" s="308" t="s">
        <v>10</v>
      </c>
      <c r="P10" s="308" t="s">
        <v>13</v>
      </c>
      <c r="Q10" s="277" t="s">
        <v>240</v>
      </c>
      <c r="R10" s="308"/>
      <c r="S10" s="308"/>
      <c r="T10" s="308"/>
      <c r="U10" s="308"/>
      <c r="V10" s="308"/>
      <c r="W10" s="308"/>
      <c r="X10" s="308"/>
      <c r="Y10" s="307" t="e">
        <f>VLOOKUP(功能_33[[#This Row],[User]],SKL放款!B:H,7,FALSE)</f>
        <v>#N/A</v>
      </c>
      <c r="Z10" s="228">
        <f>IF(功能_33[[#This Row],[實際展示]]="","",功能_33[[#This Row],[實際展示]]+14)</f>
        <v>44413</v>
      </c>
      <c r="AA10" s="228"/>
      <c r="AB10" s="226">
        <v>44515</v>
      </c>
      <c r="AC10" s="226" t="s">
        <v>213</v>
      </c>
      <c r="AD10" s="226"/>
      <c r="AE10" s="226"/>
      <c r="AF10" s="226"/>
      <c r="AG10" s="355"/>
      <c r="AH10" s="226" t="str">
        <f>IFERROR(IF(VLOOKUP(功能_33[[#This Row],[功能代號]],F:R,11,FALSE)=0,"",VLOOKUP(功能_33[[#This Row],[功能代號]],F:R,11,FALSE)),"")</f>
        <v/>
      </c>
      <c r="AI10" s="226"/>
      <c r="AJ10" s="226"/>
      <c r="AK10" s="307"/>
      <c r="AL10" s="228"/>
      <c r="AM10" s="308"/>
      <c r="AN10" s="307"/>
      <c r="AO10" s="307" t="e">
        <f>VLOOKUP(功能_33[[#This Row],[功能代號]],#REF!,1,FALSE)</f>
        <v>#REF!</v>
      </c>
      <c r="AP10" s="227"/>
      <c r="AQ10" s="227"/>
      <c r="AR10" s="227"/>
      <c r="AS10" s="227"/>
      <c r="AT10" s="227"/>
      <c r="AU10" s="227"/>
      <c r="AV10" s="227"/>
      <c r="AW10" s="227"/>
    </row>
    <row r="11" spans="1:57">
      <c r="A11" s="170">
        <v>44509</v>
      </c>
      <c r="B11" s="224">
        <v>55</v>
      </c>
      <c r="C11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07" t="s">
        <v>102</v>
      </c>
      <c r="E11" s="307" t="s">
        <v>274</v>
      </c>
      <c r="F11" s="308" t="s">
        <v>1413</v>
      </c>
      <c r="G11" s="307" t="s">
        <v>1414</v>
      </c>
      <c r="H11" s="307" t="s">
        <v>1407</v>
      </c>
      <c r="I11" s="308" t="s">
        <v>203</v>
      </c>
      <c r="J11" s="308" t="s">
        <v>204</v>
      </c>
      <c r="K11" s="229"/>
      <c r="L11" s="226">
        <v>44434</v>
      </c>
      <c r="M11" s="226">
        <v>44433</v>
      </c>
      <c r="N11" s="226" t="str">
        <f>IFERROR(IF(VLOOKUP(功能_33[[#This Row],[功能代號]],討論項目!B:I,8,FALSE)=0,"",VLOOKUP(功能_33[[#This Row],[功能代號]],討論項目!B:I,8,FALSE)),"")</f>
        <v/>
      </c>
      <c r="O11" s="308" t="s">
        <v>10</v>
      </c>
      <c r="P11" s="308" t="s">
        <v>13</v>
      </c>
      <c r="Q11" s="277" t="s">
        <v>240</v>
      </c>
      <c r="R11" s="308"/>
      <c r="S11" s="308"/>
      <c r="T11" s="308"/>
      <c r="U11" s="308"/>
      <c r="V11" s="308"/>
      <c r="W11" s="308"/>
      <c r="X11" s="308"/>
      <c r="Y11" s="307" t="e">
        <f>VLOOKUP(功能_33[[#This Row],[User]],SKL放款!B:H,7,FALSE)</f>
        <v>#N/A</v>
      </c>
      <c r="Z11" s="228">
        <f>IF(功能_33[[#This Row],[實際展示]]="","",功能_33[[#This Row],[實際展示]]+14)</f>
        <v>44414</v>
      </c>
      <c r="AA11" s="228"/>
      <c r="AB11" s="226">
        <v>44515</v>
      </c>
      <c r="AC11" s="226" t="s">
        <v>213</v>
      </c>
      <c r="AD11" s="226"/>
      <c r="AE11" s="226"/>
      <c r="AF11" s="226"/>
      <c r="AG11" s="355"/>
      <c r="AH11" s="226" t="str">
        <f>IFERROR(IF(VLOOKUP(功能_33[[#This Row],[功能代號]],F:R,11,FALSE)=0,"",VLOOKUP(功能_33[[#This Row],[功能代號]],F:R,11,FALSE)),"")</f>
        <v/>
      </c>
      <c r="AI11" s="226"/>
      <c r="AJ11" s="226"/>
      <c r="AK11" s="307"/>
      <c r="AL11" s="228"/>
      <c r="AM11" s="308"/>
      <c r="AN11" s="307"/>
      <c r="AO11" s="307" t="e">
        <f>VLOOKUP(功能_33[[#This Row],[功能代號]],#REF!,1,FALSE)</f>
        <v>#REF!</v>
      </c>
      <c r="AP11" s="227"/>
      <c r="AQ11" s="227"/>
      <c r="AR11" s="227"/>
      <c r="AS11" s="227"/>
      <c r="AT11" s="227"/>
      <c r="AU11" s="227"/>
      <c r="AV11" s="227"/>
      <c r="AW11" s="227"/>
    </row>
    <row r="12" spans="1:57">
      <c r="A12" s="170">
        <v>44510</v>
      </c>
      <c r="B12" s="224">
        <v>148</v>
      </c>
      <c r="C12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07" t="s">
        <v>105</v>
      </c>
      <c r="E12" s="234"/>
      <c r="F12" s="308" t="s">
        <v>1415</v>
      </c>
      <c r="G12" s="307" t="s">
        <v>1416</v>
      </c>
      <c r="H12" s="307" t="s">
        <v>1417</v>
      </c>
      <c r="I12" s="308" t="s">
        <v>147</v>
      </c>
      <c r="J12" s="308" t="s">
        <v>147</v>
      </c>
      <c r="K12" s="287"/>
      <c r="L12" s="267">
        <v>44518</v>
      </c>
      <c r="M12" s="226"/>
      <c r="N12" s="226" t="str">
        <f>IFERROR(IF(VLOOKUP(功能_33[[#This Row],[功能代號]],討論項目!B:I,8,FALSE)=0,"",VLOOKUP(功能_33[[#This Row],[功能代號]],討論項目!B:I,8,FALSE)),"")</f>
        <v/>
      </c>
      <c r="O12" s="308" t="s">
        <v>12</v>
      </c>
      <c r="P12" s="308" t="s">
        <v>13</v>
      </c>
      <c r="Q12" s="277"/>
      <c r="R12" s="308"/>
      <c r="S12" s="308"/>
      <c r="T12" s="308"/>
      <c r="U12" s="308"/>
      <c r="V12" s="308"/>
      <c r="W12" s="308"/>
      <c r="X12" s="308"/>
      <c r="Y12" s="307" t="e">
        <f>VLOOKUP(功能_33[[#This Row],[User]],SKL放款!B:H,7,FALSE)</f>
        <v>#N/A</v>
      </c>
      <c r="Z12" s="228">
        <f>IF(功能_33[[#This Row],[實際展示]]="","",功能_33[[#This Row],[實際展示]]+14)</f>
        <v>44414</v>
      </c>
      <c r="AA12" s="228"/>
      <c r="AB12" s="226">
        <f>IF(功能_33[[#This Row],[URS交二審]]=0,"",功能_33[[#This Row],[URS交二審]]+7)</f>
        <v>44470</v>
      </c>
      <c r="AC12" s="226"/>
      <c r="AD12" s="226"/>
      <c r="AE12" s="226"/>
      <c r="AF12" s="226"/>
      <c r="AG12" s="355"/>
      <c r="AH12" s="226" t="str">
        <f>IFERROR(IF(VLOOKUP(功能_33[[#This Row],[功能代號]],F:R,11,FALSE)=0,"",VLOOKUP(功能_33[[#This Row],[功能代號]],F:R,11,FALSE)),"")</f>
        <v/>
      </c>
      <c r="AI12" s="226"/>
      <c r="AJ12" s="226"/>
      <c r="AK12" s="307"/>
      <c r="AL12" s="226"/>
      <c r="AM12" s="308"/>
      <c r="AN12" s="307"/>
      <c r="AO12" s="307" t="e">
        <f>VLOOKUP(功能_33[[#This Row],[功能代號]],EricOK_20211105!O:P,1,FALSE)</f>
        <v>#N/A</v>
      </c>
      <c r="AP12" s="307" t="e">
        <f>VLOOKUP(功能_33[[#This Row],[功能代號]],EricOK_20211105!O:P,2,FALSE)</f>
        <v>#N/A</v>
      </c>
      <c r="AU12" s="359"/>
      <c r="AV12" s="360"/>
      <c r="AW12" s="361"/>
      <c r="AX12" s="361" t="e">
        <f>VLOOKUP([6]!功能[[#This Row],[功能項目
/代號]],[7]URS確認!$D:$J,6,FALSE)</f>
        <v>#REF!</v>
      </c>
      <c r="AY12" s="361"/>
      <c r="AZ12" s="361"/>
      <c r="BA12" s="360"/>
      <c r="BB12" s="288" t="e">
        <f>LEFT(#REF!,2)</f>
        <v>#REF!</v>
      </c>
      <c r="BC12" s="288"/>
      <c r="BD12" s="288"/>
      <c r="BE12" s="288"/>
    </row>
    <row r="13" spans="1:57">
      <c r="A13" s="170">
        <v>44510</v>
      </c>
      <c r="B13" s="224">
        <v>151</v>
      </c>
      <c r="C13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07" t="s">
        <v>105</v>
      </c>
      <c r="E13" s="234"/>
      <c r="F13" s="308" t="s">
        <v>1418</v>
      </c>
      <c r="G13" s="307" t="s">
        <v>1419</v>
      </c>
      <c r="H13" s="307" t="s">
        <v>1417</v>
      </c>
      <c r="I13" s="308" t="s">
        <v>147</v>
      </c>
      <c r="J13" s="308" t="s">
        <v>147</v>
      </c>
      <c r="K13" s="287"/>
      <c r="L13" s="267">
        <v>44518</v>
      </c>
      <c r="M13" s="226"/>
      <c r="N13" s="226" t="str">
        <f>IFERROR(IF(VLOOKUP(功能_33[[#This Row],[功能代號]],討論項目!B:I,8,FALSE)=0,"",VLOOKUP(功能_33[[#This Row],[功能代號]],討論項目!B:I,8,FALSE)),"")</f>
        <v/>
      </c>
      <c r="O13" s="308" t="s">
        <v>12</v>
      </c>
      <c r="P13" s="308" t="s">
        <v>13</v>
      </c>
      <c r="Q13" s="277"/>
      <c r="R13" s="308"/>
      <c r="S13" s="308"/>
      <c r="T13" s="308"/>
      <c r="U13" s="308"/>
      <c r="V13" s="308"/>
      <c r="W13" s="308"/>
      <c r="X13" s="308"/>
      <c r="Y13" s="307" t="e">
        <f>VLOOKUP(功能_33[[#This Row],[User]],SKL放款!B:H,7,FALSE)</f>
        <v>#N/A</v>
      </c>
      <c r="Z13" s="228">
        <f>IF(功能_33[[#This Row],[實際展示]]="","",功能_33[[#This Row],[實際展示]]+14)</f>
        <v>44414</v>
      </c>
      <c r="AA13" s="228"/>
      <c r="AB13" s="226">
        <f>IF(功能_33[[#This Row],[URS交二審]]=0,"",功能_33[[#This Row],[URS交二審]]+7)</f>
        <v>44470</v>
      </c>
      <c r="AC13" s="226"/>
      <c r="AD13" s="226"/>
      <c r="AE13" s="226"/>
      <c r="AF13" s="226"/>
      <c r="AG13" s="355"/>
      <c r="AH13" s="226" t="str">
        <f>IFERROR(IF(VLOOKUP(功能_33[[#This Row],[功能代號]],F:R,11,FALSE)=0,"",VLOOKUP(功能_33[[#This Row],[功能代號]],F:R,11,FALSE)),"")</f>
        <v/>
      </c>
      <c r="AI13" s="226"/>
      <c r="AJ13" s="226"/>
      <c r="AK13" s="307"/>
      <c r="AL13" s="226"/>
      <c r="AM13" s="308"/>
      <c r="AN13" s="307"/>
      <c r="AO13" s="307" t="e">
        <f>VLOOKUP(功能_33[[#This Row],[功能代號]],EricOK_20211105!O:P,1,FALSE)</f>
        <v>#N/A</v>
      </c>
      <c r="AP13" s="307" t="e">
        <f>VLOOKUP(功能_33[[#This Row],[功能代號]],EricOK_20211105!O:P,2,FALSE)</f>
        <v>#N/A</v>
      </c>
      <c r="AQ13" s="227"/>
      <c r="AR13" s="227"/>
      <c r="AS13" s="227"/>
      <c r="AT13" s="227"/>
      <c r="AU13" s="227"/>
      <c r="AV13" s="227"/>
    </row>
    <row r="14" spans="1:57">
      <c r="A14" s="170">
        <v>44511</v>
      </c>
      <c r="B14" s="224">
        <v>161</v>
      </c>
      <c r="C14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07" t="s">
        <v>105</v>
      </c>
      <c r="E14" s="233"/>
      <c r="F14" s="273" t="s">
        <v>1420</v>
      </c>
      <c r="G14" s="307" t="s">
        <v>1421</v>
      </c>
      <c r="H14" s="362" t="s">
        <v>1422</v>
      </c>
      <c r="I14" s="308" t="s">
        <v>147</v>
      </c>
      <c r="J14" s="308" t="s">
        <v>147</v>
      </c>
      <c r="K14" s="287"/>
      <c r="L14" s="267">
        <v>44519</v>
      </c>
      <c r="M14" s="226"/>
      <c r="N14" s="226" t="str">
        <f>IFERROR(IF(VLOOKUP(功能_33[[#This Row],[功能代號]],討論項目!B:I,8,FALSE)=0,"",VLOOKUP(功能_33[[#This Row],[功能代號]],討論項目!B:I,8,FALSE)),"")</f>
        <v/>
      </c>
      <c r="O14" s="308" t="s">
        <v>12</v>
      </c>
      <c r="P14" s="308" t="s">
        <v>18</v>
      </c>
      <c r="Q14" s="277"/>
      <c r="R14" s="308"/>
      <c r="S14" s="308"/>
      <c r="T14" s="308"/>
      <c r="U14" s="308"/>
      <c r="V14" s="308"/>
      <c r="W14" s="308"/>
      <c r="X14" s="308"/>
      <c r="Y14" s="307" t="e">
        <f>VLOOKUP(功能_33[[#This Row],[User]],SKL放款!B:H,7,FALSE)</f>
        <v>#N/A</v>
      </c>
      <c r="Z14" s="228">
        <f>IF(功能_33[[#This Row],[實際展示]]="","",功能_33[[#This Row],[實際展示]]+14)</f>
        <v>44414</v>
      </c>
      <c r="AA14" s="228"/>
      <c r="AB14" s="226">
        <f>IF(功能_33[[#This Row],[URS交二審]]=0,"",功能_33[[#This Row],[URS交二審]]+7)</f>
        <v>44470</v>
      </c>
      <c r="AC14" s="226"/>
      <c r="AD14" s="226"/>
      <c r="AE14" s="226"/>
      <c r="AF14" s="226"/>
      <c r="AG14" s="355"/>
      <c r="AH14" s="226" t="str">
        <f>IFERROR(IF(VLOOKUP(功能_33[[#This Row],[功能代號]],F:R,11,FALSE)=0,"",VLOOKUP(功能_33[[#This Row],[功能代號]],F:R,11,FALSE)),"")</f>
        <v/>
      </c>
      <c r="AI14" s="226"/>
      <c r="AJ14" s="226"/>
      <c r="AK14" s="307"/>
      <c r="AL14" s="226"/>
      <c r="AM14" s="308"/>
      <c r="AN14" s="307"/>
      <c r="AO14" s="307" t="e">
        <f>VLOOKUP(功能_33[[#This Row],[功能代號]],EricOK_20211105!O:P,1,FALSE)</f>
        <v>#N/A</v>
      </c>
      <c r="AP14" s="307" t="e">
        <f>VLOOKUP(功能_33[[#This Row],[功能代號]],EricOK_20211105!O:P,2,FALSE)</f>
        <v>#N/A</v>
      </c>
      <c r="AQ14" s="307" t="e">
        <f>VLOOKUP(功能_33[[#This Row],[功能代號]],#REF!,1,FALSE)</f>
        <v>#REF!</v>
      </c>
    </row>
    <row r="15" spans="1:57">
      <c r="A15" s="170">
        <v>44512</v>
      </c>
      <c r="B15" s="224">
        <v>367</v>
      </c>
      <c r="C15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07" t="s">
        <v>107</v>
      </c>
      <c r="E15" s="307"/>
      <c r="F15" s="308" t="s">
        <v>1423</v>
      </c>
      <c r="G15" s="307" t="s">
        <v>1424</v>
      </c>
      <c r="H15" s="168" t="s">
        <v>1425</v>
      </c>
      <c r="I15" s="308" t="s">
        <v>203</v>
      </c>
      <c r="J15" s="308" t="s">
        <v>330</v>
      </c>
      <c r="K15" s="287"/>
      <c r="L15" s="232">
        <v>44526</v>
      </c>
      <c r="M15" s="226"/>
      <c r="N15" s="226" t="str">
        <f>IFERROR(IF(VLOOKUP(功能_33[[#This Row],[功能代號]],討論項目!B:I,8,FALSE)=0,"",VLOOKUP(功能_33[[#This Row],[功能代號]],討論項目!B:I,8,FALSE)),"")</f>
        <v/>
      </c>
      <c r="O15" s="308" t="s">
        <v>7</v>
      </c>
      <c r="P15" s="308" t="s">
        <v>11</v>
      </c>
      <c r="Q15" s="277"/>
      <c r="R15" s="308"/>
      <c r="S15" s="308"/>
      <c r="T15" s="308"/>
      <c r="U15" s="308"/>
      <c r="V15" s="308"/>
      <c r="W15" s="308"/>
      <c r="X15" s="308"/>
      <c r="Y15" s="307" t="e">
        <f>VLOOKUP(功能_33[[#This Row],[User]],SKL放款!B:H,7,FALSE)</f>
        <v>#N/A</v>
      </c>
      <c r="Z15" s="228">
        <f>IF(功能_33[[#This Row],[實際展示]]="","",功能_33[[#This Row],[實際展示]]+14)</f>
        <v>44414</v>
      </c>
      <c r="AA15" s="228"/>
      <c r="AB15" s="226">
        <f>IF(功能_33[[#This Row],[URS交二審]]=0,"",功能_33[[#This Row],[URS交二審]]+7)</f>
        <v>44470</v>
      </c>
      <c r="AC15" s="226"/>
      <c r="AD15" s="226"/>
      <c r="AE15" s="226"/>
      <c r="AF15" s="226"/>
      <c r="AG15" s="355"/>
      <c r="AH15" s="226" t="str">
        <f>IFERROR(IF(VLOOKUP(功能_33[[#This Row],[功能代號]],F:R,11,FALSE)=0,"",VLOOKUP(功能_33[[#This Row],[功能代號]],F:R,11,FALSE)),"")</f>
        <v/>
      </c>
      <c r="AI15" s="226"/>
      <c r="AJ15" s="226"/>
      <c r="AK15" s="307"/>
      <c r="AL15" s="226"/>
      <c r="AM15" s="308"/>
      <c r="AN15" s="307"/>
      <c r="AO15" s="307" t="e">
        <f>VLOOKUP(功能_33[[#This Row],[功能代號]],#REF!,1,FALSE)</f>
        <v>#REF!</v>
      </c>
    </row>
    <row r="16" spans="1:57">
      <c r="A16" s="170">
        <v>44515</v>
      </c>
      <c r="B16" s="224">
        <v>164</v>
      </c>
      <c r="C16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07" t="s">
        <v>105</v>
      </c>
      <c r="E16" s="233"/>
      <c r="F16" s="308" t="s">
        <v>1426</v>
      </c>
      <c r="G16" s="307" t="s">
        <v>1427</v>
      </c>
      <c r="H16" s="307" t="s">
        <v>1428</v>
      </c>
      <c r="I16" s="308" t="s">
        <v>147</v>
      </c>
      <c r="J16" s="308" t="s">
        <v>148</v>
      </c>
      <c r="K16" s="287"/>
      <c r="L16" s="267">
        <v>44519</v>
      </c>
      <c r="M16" s="226"/>
      <c r="N16" s="226" t="str">
        <f>IFERROR(IF(VLOOKUP(功能_33[[#This Row],[功能代號]],討論項目!B:I,8,FALSE)=0,"",VLOOKUP(功能_33[[#This Row],[功能代號]],討論項目!B:I,8,FALSE)),"")</f>
        <v/>
      </c>
      <c r="O16" s="308" t="s">
        <v>12</v>
      </c>
      <c r="P16" s="308" t="s">
        <v>541</v>
      </c>
      <c r="Q16" s="277"/>
      <c r="R16" s="308"/>
      <c r="S16" s="308"/>
      <c r="T16" s="308"/>
      <c r="U16" s="308"/>
      <c r="V16" s="308"/>
      <c r="W16" s="308"/>
      <c r="X16" s="308"/>
      <c r="Y16" s="307" t="e">
        <f>VLOOKUP(功能_33[[#This Row],[User]],SKL放款!B:H,7,FALSE)</f>
        <v>#N/A</v>
      </c>
      <c r="Z16" s="228">
        <f>IF(功能_33[[#This Row],[實際展示]]="","",功能_33[[#This Row],[實際展示]]+14)</f>
        <v>44414</v>
      </c>
      <c r="AA16" s="228"/>
      <c r="AB16" s="226">
        <f>IF(功能_33[[#This Row],[URS交二審]]=0,"",功能_33[[#This Row],[URS交二審]]+7)</f>
        <v>44470</v>
      </c>
      <c r="AC16" s="226"/>
      <c r="AD16" s="226"/>
      <c r="AE16" s="226"/>
      <c r="AF16" s="226"/>
      <c r="AG16" s="355"/>
      <c r="AH16" s="226" t="str">
        <f>IFERROR(IF(VLOOKUP(功能_33[[#This Row],[功能代號]],F:R,11,FALSE)=0,"",VLOOKUP(功能_33[[#This Row],[功能代號]],F:R,11,FALSE)),"")</f>
        <v/>
      </c>
      <c r="AI16" s="226"/>
      <c r="AJ16" s="226"/>
      <c r="AK16" s="307"/>
      <c r="AL16" s="226"/>
      <c r="AM16" s="308"/>
      <c r="AN16" s="307"/>
      <c r="AO16" s="307" t="e">
        <f>VLOOKUP(功能_33[[#This Row],[功能代號]],#REF!,1,FALSE)</f>
        <v>#REF!</v>
      </c>
    </row>
    <row r="17" spans="1:41">
      <c r="A17" s="170">
        <v>44515</v>
      </c>
      <c r="B17" s="224">
        <v>166</v>
      </c>
      <c r="C17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07" t="s">
        <v>105</v>
      </c>
      <c r="E17" s="233"/>
      <c r="F17" s="308" t="s">
        <v>1429</v>
      </c>
      <c r="G17" s="307" t="s">
        <v>1430</v>
      </c>
      <c r="H17" s="307" t="s">
        <v>1428</v>
      </c>
      <c r="I17" s="308" t="s">
        <v>147</v>
      </c>
      <c r="J17" s="308" t="s">
        <v>148</v>
      </c>
      <c r="K17" s="287"/>
      <c r="L17" s="267">
        <v>44519</v>
      </c>
      <c r="M17" s="226"/>
      <c r="N17" s="226" t="str">
        <f>IFERROR(IF(VLOOKUP(功能_33[[#This Row],[功能代號]],討論項目!B:I,8,FALSE)=0,"",VLOOKUP(功能_33[[#This Row],[功能代號]],討論項目!B:I,8,FALSE)),"")</f>
        <v/>
      </c>
      <c r="O17" s="308" t="s">
        <v>12</v>
      </c>
      <c r="P17" s="308" t="s">
        <v>541</v>
      </c>
      <c r="Q17" s="277"/>
      <c r="R17" s="308"/>
      <c r="S17" s="308"/>
      <c r="T17" s="308"/>
      <c r="U17" s="308"/>
      <c r="V17" s="308"/>
      <c r="W17" s="308"/>
      <c r="X17" s="308"/>
      <c r="Y17" s="307" t="e">
        <f>VLOOKUP(功能_33[[#This Row],[User]],SKL放款!B:H,7,FALSE)</f>
        <v>#N/A</v>
      </c>
      <c r="Z17" s="228">
        <f>IF(功能_33[[#This Row],[實際展示]]="","",功能_33[[#This Row],[實際展示]]+14)</f>
        <v>44475</v>
      </c>
      <c r="AA17" s="228"/>
      <c r="AB17" s="226">
        <f>IF(功能_33[[#This Row],[URS交二審]]=0,"",功能_33[[#This Row],[URS交二審]]+7)</f>
        <v>44470</v>
      </c>
      <c r="AC17" s="226"/>
      <c r="AD17" s="226"/>
      <c r="AE17" s="226"/>
      <c r="AF17" s="226"/>
      <c r="AG17" s="355"/>
      <c r="AH17" s="226" t="str">
        <f>IFERROR(IF(VLOOKUP(功能_33[[#This Row],[功能代號]],F:R,11,FALSE)=0,"",VLOOKUP(功能_33[[#This Row],[功能代號]],F:R,11,FALSE)),"")</f>
        <v/>
      </c>
      <c r="AI17" s="226"/>
      <c r="AJ17" s="226"/>
      <c r="AK17" s="307"/>
      <c r="AL17" s="226"/>
      <c r="AM17" s="308"/>
      <c r="AN17" s="307"/>
      <c r="AO17" s="307" t="e">
        <f>VLOOKUP(功能_33[[#This Row],[功能代號]],#REF!,1,FALSE)</f>
        <v>#REF!</v>
      </c>
    </row>
    <row r="18" spans="1:41">
      <c r="A18" s="170">
        <v>44518</v>
      </c>
      <c r="B18" s="224">
        <v>163</v>
      </c>
      <c r="C18" s="307" t="s">
        <v>2776</v>
      </c>
      <c r="D18" s="307" t="s">
        <v>105</v>
      </c>
      <c r="E18" s="307"/>
      <c r="F18" s="308" t="s">
        <v>1113</v>
      </c>
      <c r="G18" s="307" t="s">
        <v>1114</v>
      </c>
      <c r="H18" s="307" t="s">
        <v>2778</v>
      </c>
      <c r="I18" s="308" t="s">
        <v>147</v>
      </c>
      <c r="J18" s="308" t="s">
        <v>148</v>
      </c>
      <c r="K18" s="287"/>
      <c r="L18" s="267">
        <v>44519</v>
      </c>
      <c r="M18" s="226"/>
      <c r="N18" s="226" t="s">
        <v>2777</v>
      </c>
      <c r="O18" s="308" t="s">
        <v>12</v>
      </c>
      <c r="P18" s="308" t="s">
        <v>541</v>
      </c>
      <c r="Q18" s="277"/>
      <c r="R18" s="308"/>
      <c r="S18" s="308"/>
      <c r="T18" s="308"/>
      <c r="U18" s="308"/>
      <c r="V18" s="308"/>
      <c r="W18" s="308"/>
      <c r="X18" s="308"/>
      <c r="Y18" s="307" t="s">
        <v>2175</v>
      </c>
      <c r="Z18" s="228" t="s">
        <v>2777</v>
      </c>
      <c r="AA18" s="228"/>
      <c r="AB18" s="226" t="s">
        <v>2777</v>
      </c>
      <c r="AC18" s="226"/>
      <c r="AD18" s="226"/>
      <c r="AE18" s="226"/>
      <c r="AF18" s="226"/>
      <c r="AG18" s="355"/>
      <c r="AH18" s="226" t="s">
        <v>541</v>
      </c>
      <c r="AI18" s="226"/>
      <c r="AJ18" s="226"/>
      <c r="AK18" s="307"/>
      <c r="AL18" s="226"/>
      <c r="AM18" s="308"/>
      <c r="AN18" s="307"/>
      <c r="AO18" s="307" t="e">
        <v>#REF!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Q542"/>
  <sheetViews>
    <sheetView zoomScaleNormal="100" workbookViewId="0">
      <pane ySplit="3" topLeftCell="A445" activePane="bottomLeft" state="frozen"/>
      <selection pane="bottomLeft" activeCell="J514" sqref="J514"/>
    </sheetView>
  </sheetViews>
  <sheetFormatPr defaultColWidth="9" defaultRowHeight="16.2"/>
  <cols>
    <col min="1" max="1" width="10.125" style="313" customWidth="1"/>
    <col min="2" max="2" width="24.75" style="69" customWidth="1"/>
    <col min="3" max="3" width="4.875" style="313" customWidth="1"/>
    <col min="4" max="4" width="74.75" style="74" customWidth="1"/>
    <col min="5" max="5" width="15.75" style="313" customWidth="1"/>
    <col min="6" max="6" width="20.25" style="71" bestFit="1" customWidth="1"/>
    <col min="7" max="7" width="16.75" style="71" customWidth="1"/>
    <col min="8" max="8" width="15.375" style="313" bestFit="1" customWidth="1"/>
    <col min="9" max="9" width="13.375" style="313" customWidth="1"/>
    <col min="10" max="10" width="11.375" style="313" customWidth="1"/>
    <col min="11" max="11" width="16.625" style="313" customWidth="1"/>
    <col min="12" max="12" width="8.25" style="313" customWidth="1"/>
    <col min="13" max="13" width="21.625" style="313" customWidth="1"/>
    <col min="14" max="15" width="20.125" style="313" customWidth="1"/>
    <col min="16" max="16" width="12" style="313" customWidth="1"/>
    <col min="17" max="19" width="9" style="69" customWidth="1"/>
    <col min="20" max="16384" width="9" style="69"/>
  </cols>
  <sheetData>
    <row r="1" spans="1:16" ht="16.95" customHeight="1">
      <c r="A1" s="419" t="s">
        <v>1431</v>
      </c>
      <c r="B1" s="419" t="s">
        <v>1432</v>
      </c>
      <c r="C1" s="422" t="s">
        <v>1433</v>
      </c>
      <c r="D1" s="422" t="s">
        <v>1434</v>
      </c>
      <c r="E1" s="419" t="s">
        <v>1435</v>
      </c>
      <c r="F1" s="424" t="s">
        <v>1436</v>
      </c>
      <c r="G1" s="424" t="s">
        <v>1437</v>
      </c>
      <c r="H1" s="282" t="s">
        <v>119</v>
      </c>
      <c r="I1" s="419" t="s">
        <v>1438</v>
      </c>
      <c r="J1" s="419" t="s">
        <v>1439</v>
      </c>
      <c r="K1" s="425"/>
      <c r="L1" s="425"/>
      <c r="M1" s="425"/>
      <c r="N1" s="426"/>
      <c r="O1" s="282"/>
      <c r="P1" s="419" t="s">
        <v>1440</v>
      </c>
    </row>
    <row r="2" spans="1:16" hidden="1">
      <c r="A2" s="420"/>
      <c r="B2" s="420"/>
      <c r="C2" s="420"/>
      <c r="D2" s="420"/>
      <c r="E2" s="420"/>
      <c r="F2" s="420"/>
      <c r="G2" s="420"/>
      <c r="H2" s="284" t="s">
        <v>1437</v>
      </c>
      <c r="I2" s="420"/>
      <c r="J2" s="423" t="s">
        <v>1441</v>
      </c>
      <c r="K2" s="423" t="s">
        <v>1442</v>
      </c>
      <c r="L2" s="427" t="s">
        <v>1443</v>
      </c>
      <c r="M2" s="428"/>
      <c r="N2" s="428"/>
      <c r="O2" s="429"/>
      <c r="P2" s="420"/>
    </row>
    <row r="3" spans="1:16" hidden="1">
      <c r="A3" s="421"/>
      <c r="B3" s="421"/>
      <c r="C3" s="421"/>
      <c r="D3" s="421"/>
      <c r="E3" s="421"/>
      <c r="F3" s="421"/>
      <c r="G3" s="421"/>
      <c r="H3" s="283"/>
      <c r="I3" s="421"/>
      <c r="J3" s="421"/>
      <c r="K3" s="421"/>
      <c r="L3" s="312" t="s">
        <v>1444</v>
      </c>
      <c r="M3" s="163" t="s">
        <v>1445</v>
      </c>
      <c r="N3" s="163" t="s">
        <v>1446</v>
      </c>
      <c r="O3" s="164" t="s">
        <v>1447</v>
      </c>
      <c r="P3" s="421"/>
    </row>
    <row r="4" spans="1:16" ht="33" customHeight="1">
      <c r="A4" s="313" t="s">
        <v>1018</v>
      </c>
      <c r="B4" s="69" t="str">
        <f>VLOOKUP(A4,URS確認!$E:$F,2,FALSE)</f>
        <v>放款業績工作月查詢</v>
      </c>
      <c r="C4" s="313">
        <v>1</v>
      </c>
      <c r="D4" s="74" t="s">
        <v>1448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3" t="s">
        <v>1449</v>
      </c>
      <c r="P4" s="70"/>
    </row>
    <row r="5" spans="1:16">
      <c r="A5" s="313" t="s">
        <v>1018</v>
      </c>
      <c r="B5" s="69" t="str">
        <f>VLOOKUP(A5,URS確認!$E:$F,2,FALSE)</f>
        <v>放款業績工作月查詢</v>
      </c>
      <c r="C5" s="313">
        <v>2</v>
      </c>
      <c r="D5" s="74" t="s">
        <v>1450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3" t="s">
        <v>1449</v>
      </c>
      <c r="P5" s="70"/>
    </row>
    <row r="6" spans="1:16">
      <c r="A6" s="313" t="s">
        <v>1018</v>
      </c>
      <c r="B6" s="69" t="str">
        <f>VLOOKUP(A6,URS確認!$E:$F,2,FALSE)</f>
        <v>放款業績工作月查詢</v>
      </c>
      <c r="C6" s="313">
        <v>3</v>
      </c>
      <c r="D6" s="74" t="s">
        <v>1451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3" t="s">
        <v>1449</v>
      </c>
      <c r="P6" s="70"/>
    </row>
    <row r="7" spans="1:16">
      <c r="A7" s="313" t="s">
        <v>1023</v>
      </c>
      <c r="B7" s="69" t="str">
        <f>VLOOKUP(A7,URS確認!$E:$F,2,FALSE)</f>
        <v>放款業績工作月維護</v>
      </c>
      <c r="C7" s="313">
        <v>1</v>
      </c>
      <c r="D7" s="74" t="s">
        <v>1452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3" t="s">
        <v>1449</v>
      </c>
      <c r="P7" s="70"/>
    </row>
    <row r="8" spans="1:16" hidden="1">
      <c r="A8" s="313" t="s">
        <v>1026</v>
      </c>
      <c r="B8" s="69" t="str">
        <f>VLOOKUP(A8,URS確認!$E:$F,2,FALSE)</f>
        <v xml:space="preserve">年度業績目標更新                    </v>
      </c>
      <c r="C8" s="313">
        <v>1</v>
      </c>
      <c r="D8" s="74" t="s">
        <v>1453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3" t="s">
        <v>1449</v>
      </c>
      <c r="P8" s="70"/>
    </row>
    <row r="9" spans="1:16" hidden="1">
      <c r="A9" s="313" t="s">
        <v>1026</v>
      </c>
      <c r="B9" s="69" t="str">
        <f>VLOOKUP(A9,URS確認!$E:$F,2,FALSE)</f>
        <v xml:space="preserve">年度業績目標更新                    </v>
      </c>
      <c r="C9" s="313">
        <v>2</v>
      </c>
      <c r="D9" s="74" t="s">
        <v>1454</v>
      </c>
      <c r="E9" s="70">
        <v>44396</v>
      </c>
      <c r="F9" s="108" t="s">
        <v>1455</v>
      </c>
      <c r="G9" s="70"/>
      <c r="H9" s="70"/>
      <c r="I9" s="70" t="s">
        <v>147</v>
      </c>
      <c r="M9" s="313" t="s">
        <v>1456</v>
      </c>
      <c r="P9" s="70" t="s">
        <v>1457</v>
      </c>
    </row>
    <row r="10" spans="1:16" hidden="1">
      <c r="A10" s="313" t="s">
        <v>1028</v>
      </c>
      <c r="B10" s="69" t="str">
        <f>VLOOKUP(A10,URS確認!$E:$F,2,FALSE)</f>
        <v xml:space="preserve">房貸專員明細資料查詢                </v>
      </c>
      <c r="C10" s="313">
        <v>1</v>
      </c>
      <c r="D10" s="74" t="s">
        <v>1458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3" t="s">
        <v>1449</v>
      </c>
      <c r="P10" s="70"/>
    </row>
    <row r="11" spans="1:16" hidden="1">
      <c r="A11" s="313" t="s">
        <v>1030</v>
      </c>
      <c r="B11" s="69" t="str">
        <f>VLOOKUP(A11,URS確認!$E:$F,2,FALSE)</f>
        <v xml:space="preserve">房貸專員資料維護                    </v>
      </c>
      <c r="C11" s="313">
        <v>1</v>
      </c>
      <c r="D11" s="74" t="s">
        <v>1459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3" t="s">
        <v>1449</v>
      </c>
      <c r="P11" s="70"/>
    </row>
    <row r="12" spans="1:16" ht="33" hidden="1" customHeight="1">
      <c r="A12" s="313" t="s">
        <v>1030</v>
      </c>
      <c r="B12" s="69" t="str">
        <f>VLOOKUP(A12,URS確認!$E:$F,2,FALSE)</f>
        <v xml:space="preserve">房貸專員資料維護                    </v>
      </c>
      <c r="C12" s="313">
        <v>2</v>
      </c>
      <c r="D12" s="74" t="s">
        <v>1460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3" t="s">
        <v>1449</v>
      </c>
      <c r="P12" s="70"/>
    </row>
    <row r="13" spans="1:16" hidden="1">
      <c r="A13" s="313" t="s">
        <v>1030</v>
      </c>
      <c r="B13" s="69" t="str">
        <f>VLOOKUP(A13,URS確認!$E:$F,2,FALSE)</f>
        <v xml:space="preserve">房貸專員資料維護                    </v>
      </c>
      <c r="C13" s="313">
        <v>3</v>
      </c>
      <c r="D13" s="74" t="s">
        <v>1461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3" t="s">
        <v>1449</v>
      </c>
      <c r="P13" s="70"/>
    </row>
    <row r="14" spans="1:16" hidden="1">
      <c r="A14" s="313" t="s">
        <v>1030</v>
      </c>
      <c r="B14" s="69" t="str">
        <f>VLOOKUP(A14,URS確認!$E:$F,2,FALSE)</f>
        <v xml:space="preserve">房貸專員資料維護                    </v>
      </c>
      <c r="C14" s="313">
        <v>4</v>
      </c>
      <c r="D14" s="74" t="s">
        <v>1462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3" t="s">
        <v>1449</v>
      </c>
      <c r="P14" s="70"/>
    </row>
    <row r="15" spans="1:16" hidden="1">
      <c r="A15" s="313" t="s">
        <v>1038</v>
      </c>
      <c r="B15" s="69" t="str">
        <f>VLOOKUP(A15,URS確認!$E:$F,2,FALSE)</f>
        <v xml:space="preserve">更改目標金額、累計目標金額          </v>
      </c>
      <c r="C15" s="313">
        <v>1</v>
      </c>
      <c r="D15" s="74" t="s">
        <v>1463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13" t="s">
        <v>1449</v>
      </c>
      <c r="P15" s="70"/>
    </row>
    <row r="16" spans="1:16" ht="82.5" hidden="1" customHeight="1">
      <c r="A16" s="313" t="s">
        <v>1038</v>
      </c>
      <c r="B16" s="69" t="str">
        <f>VLOOKUP(A16,URS確認!$E:$F,2,FALSE)</f>
        <v xml:space="preserve">更改目標金額、累計目標金額          </v>
      </c>
      <c r="C16" s="313">
        <v>2</v>
      </c>
      <c r="D16" s="74" t="s">
        <v>1464</v>
      </c>
      <c r="E16" s="70">
        <v>44396</v>
      </c>
      <c r="F16" s="70">
        <v>44469</v>
      </c>
      <c r="G16" s="70"/>
      <c r="H16" s="70"/>
      <c r="I16" s="70" t="s">
        <v>147</v>
      </c>
      <c r="M16" s="313" t="s">
        <v>1465</v>
      </c>
      <c r="P16" s="70" t="s">
        <v>1457</v>
      </c>
    </row>
    <row r="17" spans="1:16" ht="33" hidden="1" customHeight="1">
      <c r="A17" s="313" t="s">
        <v>1038</v>
      </c>
      <c r="B17" s="69" t="str">
        <f>VLOOKUP(A17,URS確認!$E:$F,2,FALSE)</f>
        <v xml:space="preserve">更改目標金額、累計目標金額          </v>
      </c>
      <c r="C17" s="313">
        <v>3</v>
      </c>
      <c r="D17" s="74" t="s">
        <v>1466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3" t="s">
        <v>1449</v>
      </c>
      <c r="P17" s="70"/>
    </row>
    <row r="18" spans="1:16" hidden="1">
      <c r="A18" s="313" t="s">
        <v>1038</v>
      </c>
      <c r="B18" s="69" t="str">
        <f>VLOOKUP(A18,URS確認!$E:$F,2,FALSE)</f>
        <v xml:space="preserve">更改目標金額、累計目標金額          </v>
      </c>
      <c r="C18" s="313">
        <v>4</v>
      </c>
      <c r="D18" s="74" t="s">
        <v>1467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3" t="s">
        <v>1449</v>
      </c>
      <c r="P18" s="70"/>
    </row>
    <row r="19" spans="1:16" hidden="1">
      <c r="A19" s="313" t="s">
        <v>1032</v>
      </c>
      <c r="B19" s="69" t="str">
        <f>VLOOKUP(A19,URS確認!$E:$F,2,FALSE)</f>
        <v xml:space="preserve">晤談人員明細資料查詢                </v>
      </c>
      <c r="C19" s="313">
        <v>1</v>
      </c>
      <c r="D19" s="74" t="s">
        <v>1468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3" t="s">
        <v>1449</v>
      </c>
      <c r="P19" s="71"/>
    </row>
    <row r="20" spans="1:16" hidden="1">
      <c r="A20" s="313" t="s">
        <v>1034</v>
      </c>
      <c r="B20" s="69" t="str">
        <f>VLOOKUP(A20,URS確認!$E:$F,2,FALSE)</f>
        <v xml:space="preserve">晤談人員資料維護                    </v>
      </c>
      <c r="C20" s="313">
        <v>1</v>
      </c>
      <c r="D20" s="74" t="s">
        <v>1469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13" t="s">
        <v>1449</v>
      </c>
      <c r="P20" s="71"/>
    </row>
    <row r="21" spans="1:16" ht="115.5" hidden="1" customHeight="1">
      <c r="A21" s="313" t="s">
        <v>1040</v>
      </c>
      <c r="B21" s="69" t="str">
        <f>VLOOKUP(A21,URS確認!$E:$F,2,FALSE)</f>
        <v xml:space="preserve">協辦人員等級明細資料查詢            </v>
      </c>
      <c r="C21" s="313">
        <v>1</v>
      </c>
      <c r="D21" s="74" t="s">
        <v>1470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13" t="s">
        <v>1449</v>
      </c>
      <c r="P21" s="71"/>
    </row>
    <row r="22" spans="1:16" ht="66" hidden="1" customHeight="1">
      <c r="A22" s="313" t="s">
        <v>1040</v>
      </c>
      <c r="B22" s="69" t="str">
        <f>VLOOKUP(A22,URS確認!$E:$F,2,FALSE)</f>
        <v xml:space="preserve">協辦人員等級明細資料查詢            </v>
      </c>
      <c r="C22" s="313">
        <v>2</v>
      </c>
      <c r="D22" s="74" t="s">
        <v>1471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3" t="s">
        <v>1449</v>
      </c>
      <c r="P22" s="71"/>
    </row>
    <row r="23" spans="1:16" hidden="1">
      <c r="A23" s="313" t="s">
        <v>1040</v>
      </c>
      <c r="B23" s="69" t="str">
        <f>VLOOKUP(A23,URS確認!$E:$F,2,FALSE)</f>
        <v xml:space="preserve">協辦人員等級明細資料查詢            </v>
      </c>
      <c r="C23" s="313">
        <v>3</v>
      </c>
      <c r="D23" s="74" t="s">
        <v>1472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13" t="s">
        <v>1473</v>
      </c>
      <c r="P23" s="71"/>
    </row>
    <row r="24" spans="1:16" hidden="1">
      <c r="A24" s="313" t="s">
        <v>1044</v>
      </c>
      <c r="B24" s="69" t="str">
        <f>VLOOKUP(A24,URS確認!$E:$F,2,FALSE)</f>
        <v xml:space="preserve">房貸協辦人員等級維護                </v>
      </c>
      <c r="C24" s="313">
        <v>1</v>
      </c>
      <c r="D24" s="74" t="s">
        <v>1474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3" t="s">
        <v>1473</v>
      </c>
      <c r="P24" s="71"/>
    </row>
    <row r="25" spans="1:16" ht="66" customHeight="1">
      <c r="A25" s="313" t="s">
        <v>1062</v>
      </c>
      <c r="B25" s="69" t="str">
        <f>VLOOKUP(A25,URS確認!$E:$F,2,FALSE)</f>
        <v>介紹人加碼獎勵津貼標準設定</v>
      </c>
      <c r="C25" s="313">
        <v>1</v>
      </c>
      <c r="D25" s="74" t="s">
        <v>1475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13" t="s">
        <v>1449</v>
      </c>
      <c r="P25" s="71"/>
    </row>
    <row r="26" spans="1:16" ht="33" customHeight="1">
      <c r="A26" s="313" t="s">
        <v>1062</v>
      </c>
      <c r="B26" s="69" t="str">
        <f>VLOOKUP(A26,URS確認!$E:$F,2,FALSE)</f>
        <v>介紹人加碼獎勵津貼標準設定</v>
      </c>
      <c r="C26" s="313">
        <v>2</v>
      </c>
      <c r="D26" s="74" t="s">
        <v>1476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13" t="s">
        <v>1449</v>
      </c>
      <c r="P26" s="71" t="s">
        <v>1477</v>
      </c>
    </row>
    <row r="27" spans="1:16">
      <c r="A27" s="313" t="s">
        <v>1062</v>
      </c>
      <c r="B27" s="69" t="str">
        <f>VLOOKUP(A27,URS確認!$E:$F,2,FALSE)</f>
        <v>介紹人加碼獎勵津貼標準設定</v>
      </c>
      <c r="C27" s="313">
        <v>3</v>
      </c>
      <c r="D27" s="74" t="s">
        <v>1478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13" t="s">
        <v>1449</v>
      </c>
      <c r="P27" s="71"/>
    </row>
    <row r="28" spans="1:16" hidden="1">
      <c r="A28" s="313" t="s">
        <v>1066</v>
      </c>
      <c r="B28" s="69" t="str">
        <f>VLOOKUP(A28,URS確認!$E:$F,2,FALSE)</f>
        <v>協辦獎勵津貼標準設定</v>
      </c>
      <c r="C28" s="313">
        <v>1</v>
      </c>
      <c r="D28" s="74" t="s">
        <v>1478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13" t="s">
        <v>1449</v>
      </c>
      <c r="P28" s="71"/>
    </row>
    <row r="29" spans="1:16" ht="34.049999999999997" hidden="1" customHeight="1">
      <c r="A29" s="313" t="s">
        <v>1066</v>
      </c>
      <c r="B29" s="69" t="str">
        <f>VLOOKUP(A29,URS確認!$E:$F,2,FALSE)</f>
        <v>協辦獎勵津貼標準設定</v>
      </c>
      <c r="C29" s="313">
        <v>2</v>
      </c>
      <c r="D29" s="74" t="s">
        <v>1479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13" t="s">
        <v>1449</v>
      </c>
      <c r="P29" s="71"/>
    </row>
    <row r="30" spans="1:16" hidden="1">
      <c r="A30" s="313" t="s">
        <v>1066</v>
      </c>
      <c r="B30" s="69" t="str">
        <f>VLOOKUP(A30,URS確認!$E:$F,2,FALSE)</f>
        <v>協辦獎勵津貼標準設定</v>
      </c>
      <c r="C30" s="313">
        <v>3</v>
      </c>
      <c r="D30" s="74" t="s">
        <v>1480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13" t="s">
        <v>1449</v>
      </c>
      <c r="P30" s="71"/>
    </row>
    <row r="31" spans="1:16">
      <c r="A31" s="313" t="s">
        <v>1068</v>
      </c>
      <c r="B31" s="69" t="str">
        <f>VLOOKUP(A31,URS確認!$E:$F,2,FALSE)</f>
        <v>系統變數及系統值設定</v>
      </c>
      <c r="C31" s="313">
        <v>1</v>
      </c>
      <c r="D31" s="74" t="s">
        <v>1481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13" t="s">
        <v>1449</v>
      </c>
      <c r="P31" s="71"/>
    </row>
    <row r="32" spans="1:16" ht="49.5" customHeight="1">
      <c r="A32" s="313" t="s">
        <v>1068</v>
      </c>
      <c r="B32" s="69" t="str">
        <f>VLOOKUP(A32,URS確認!$E:$F,2,FALSE)</f>
        <v>系統變數及系統值設定</v>
      </c>
      <c r="C32" s="313">
        <v>2</v>
      </c>
      <c r="D32" s="74" t="s">
        <v>1482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13" t="s">
        <v>1449</v>
      </c>
      <c r="P32" s="71"/>
    </row>
    <row r="33" spans="1:16" ht="49.5" hidden="1" customHeight="1">
      <c r="A33" s="313" t="s">
        <v>1068</v>
      </c>
      <c r="B33" s="69" t="str">
        <f>VLOOKUP(A33,URS確認!$E:$F,2,FALSE)</f>
        <v>系統變數及系統值設定</v>
      </c>
      <c r="C33" s="313">
        <v>3</v>
      </c>
      <c r="D33" s="74" t="s">
        <v>1483</v>
      </c>
      <c r="E33" s="71">
        <v>44397</v>
      </c>
      <c r="F33" s="71">
        <v>44469</v>
      </c>
      <c r="H33" s="71"/>
      <c r="I33" s="70" t="s">
        <v>147</v>
      </c>
      <c r="M33" s="313" t="s">
        <v>1465</v>
      </c>
      <c r="P33" s="71" t="s">
        <v>1457</v>
      </c>
    </row>
    <row r="34" spans="1:16" s="165" customFormat="1" ht="33" hidden="1" customHeight="1">
      <c r="A34" s="72" t="s">
        <v>1054</v>
      </c>
      <c r="B34" s="69" t="str">
        <f>VLOOKUP(A34,URS確認!$E:$F,2,FALSE)</f>
        <v>業績件數及金額核算標準設定查詢</v>
      </c>
      <c r="C34" s="72">
        <v>1</v>
      </c>
      <c r="D34" s="75" t="s">
        <v>1484</v>
      </c>
      <c r="E34" s="73">
        <v>44398</v>
      </c>
      <c r="F34" s="73">
        <v>44408</v>
      </c>
      <c r="G34" s="73">
        <v>44408</v>
      </c>
      <c r="H34" s="73"/>
      <c r="I34" s="70" t="s">
        <v>147</v>
      </c>
      <c r="J34" s="72"/>
      <c r="K34" s="72"/>
      <c r="L34" s="72"/>
      <c r="M34" s="72"/>
      <c r="N34" s="72" t="s">
        <v>1449</v>
      </c>
      <c r="O34" s="72"/>
      <c r="P34" s="73" t="s">
        <v>1457</v>
      </c>
    </row>
    <row r="35" spans="1:16">
      <c r="A35" s="313" t="s">
        <v>1056</v>
      </c>
      <c r="B35" s="69" t="str">
        <f>VLOOKUP(A35,URS確認!$E:$F,2,FALSE)</f>
        <v>業績件數及金額核算標準設定</v>
      </c>
      <c r="C35" s="313">
        <v>1</v>
      </c>
      <c r="D35" s="74" t="s">
        <v>1485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13" t="s">
        <v>1449</v>
      </c>
      <c r="P35" s="71"/>
    </row>
    <row r="36" spans="1:16" ht="33" customHeight="1">
      <c r="A36" s="313" t="s">
        <v>1056</v>
      </c>
      <c r="B36" s="69" t="str">
        <f>VLOOKUP(A36,URS確認!$E:$F,2,FALSE)</f>
        <v>業績件數及金額核算標準設定</v>
      </c>
      <c r="C36" s="313">
        <v>2</v>
      </c>
      <c r="D36" s="74" t="s">
        <v>1486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13" t="s">
        <v>1465</v>
      </c>
      <c r="P36" s="71" t="s">
        <v>1487</v>
      </c>
    </row>
    <row r="37" spans="1:16" s="165" customFormat="1" ht="33" customHeight="1">
      <c r="A37" s="72" t="s">
        <v>1056</v>
      </c>
      <c r="B37" s="69" t="str">
        <f>VLOOKUP(A37,URS確認!$E:$F,2,FALSE)</f>
        <v>業績件數及金額核算標準設定</v>
      </c>
      <c r="C37" s="72">
        <v>3</v>
      </c>
      <c r="D37" s="75" t="s">
        <v>1488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5" customFormat="1">
      <c r="A38" s="72" t="s">
        <v>1056</v>
      </c>
      <c r="B38" s="69" t="str">
        <f>VLOOKUP(A38,URS確認!$E:$F,2,FALSE)</f>
        <v>業績件數及金額核算標準設定</v>
      </c>
      <c r="C38" s="72">
        <v>4</v>
      </c>
      <c r="D38" s="75" t="s">
        <v>1489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1465</v>
      </c>
      <c r="N38" s="72"/>
      <c r="O38" s="72"/>
      <c r="P38" s="76"/>
    </row>
    <row r="39" spans="1:16" ht="33" hidden="1" customHeight="1">
      <c r="A39" s="313" t="s">
        <v>1058</v>
      </c>
      <c r="B39" s="69" t="str">
        <f>VLOOKUP(A39,URS確認!$E:$F,2,FALSE)</f>
        <v>業績件數及金額核算標準設定(整月)</v>
      </c>
      <c r="C39" s="313">
        <v>1</v>
      </c>
      <c r="D39" s="74" t="s">
        <v>1490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13" t="s">
        <v>1465</v>
      </c>
      <c r="P39" s="71" t="s">
        <v>1457</v>
      </c>
    </row>
    <row r="40" spans="1:16" hidden="1">
      <c r="A40" s="313" t="s">
        <v>1095</v>
      </c>
      <c r="B40" s="69" t="str">
        <f>VLOOKUP(A40,URS確認!$E:$F,2,FALSE)</f>
        <v>工作日業績結算</v>
      </c>
      <c r="C40" s="313">
        <v>1</v>
      </c>
      <c r="D40" s="74" t="s">
        <v>1491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13" t="s">
        <v>1449</v>
      </c>
      <c r="P40" s="71"/>
    </row>
    <row r="41" spans="1:16" ht="30.6" hidden="1" customHeight="1">
      <c r="A41" s="313" t="s">
        <v>1095</v>
      </c>
      <c r="B41" s="69" t="str">
        <f>VLOOKUP(A41,URS確認!$E:$F,2,FALSE)</f>
        <v>工作日業績結算</v>
      </c>
      <c r="C41" s="313">
        <v>2</v>
      </c>
      <c r="D41" s="74" t="s">
        <v>1492</v>
      </c>
      <c r="E41" s="71">
        <v>44398</v>
      </c>
      <c r="F41" s="71" t="s">
        <v>1493</v>
      </c>
      <c r="H41" s="71"/>
      <c r="I41" s="70" t="str">
        <f>VLOOKUP(A41,URS確認!E:I,5,FALSE)</f>
        <v>張金龍</v>
      </c>
      <c r="P41" s="71"/>
    </row>
    <row r="42" spans="1:16" hidden="1">
      <c r="A42" s="313" t="s">
        <v>342</v>
      </c>
      <c r="B42" s="69" t="str">
        <f>VLOOKUP(A42,URS確認!$E:$F,2,FALSE)</f>
        <v xml:space="preserve">撥款                     </v>
      </c>
      <c r="C42" s="313">
        <v>1</v>
      </c>
      <c r="D42" s="74" t="s">
        <v>1494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13" t="s">
        <v>1449</v>
      </c>
      <c r="P42" s="71"/>
    </row>
    <row r="43" spans="1:16" hidden="1">
      <c r="A43" s="313" t="s">
        <v>1415</v>
      </c>
      <c r="B43" s="69" t="e">
        <f>VLOOKUP(A43,URS確認!$E:$F,2,FALSE)</f>
        <v>#N/A</v>
      </c>
      <c r="C43" s="313">
        <v>1</v>
      </c>
      <c r="D43" s="74" t="s">
        <v>1495</v>
      </c>
      <c r="E43" s="71">
        <v>44398</v>
      </c>
      <c r="F43" s="71">
        <v>44439</v>
      </c>
      <c r="G43" s="313"/>
      <c r="I43" s="70" t="e">
        <f>VLOOKUP(A43,URS確認!E:I,5,FALSE)</f>
        <v>#N/A</v>
      </c>
      <c r="L43" s="313" t="s">
        <v>1449</v>
      </c>
      <c r="P43" s="71"/>
    </row>
    <row r="44" spans="1:16" ht="34.049999999999997" hidden="1" customHeight="1">
      <c r="A44" s="72" t="s">
        <v>1415</v>
      </c>
      <c r="B44" s="69" t="e">
        <f>VLOOKUP(A44,URS確認!$E:$F,2,FALSE)</f>
        <v>#N/A</v>
      </c>
      <c r="C44" s="72">
        <v>2</v>
      </c>
      <c r="D44" s="75" t="s">
        <v>1496</v>
      </c>
      <c r="E44" s="71">
        <v>44398</v>
      </c>
      <c r="F44" s="71">
        <v>44439</v>
      </c>
      <c r="G44" s="313"/>
      <c r="I44" s="70" t="e">
        <f>VLOOKUP(A44,URS確認!E:I,5,FALSE)</f>
        <v>#N/A</v>
      </c>
      <c r="M44" s="313" t="s">
        <v>1465</v>
      </c>
      <c r="P44" s="71"/>
    </row>
    <row r="45" spans="1:16" hidden="1">
      <c r="A45" s="313" t="s">
        <v>1418</v>
      </c>
      <c r="B45" s="69" t="e">
        <f>VLOOKUP(A45,URS確認!$E:$F,2,FALSE)</f>
        <v>#N/A</v>
      </c>
      <c r="C45" s="313">
        <v>1</v>
      </c>
      <c r="D45" s="74" t="s">
        <v>1497</v>
      </c>
      <c r="E45" s="71">
        <v>44398</v>
      </c>
      <c r="F45" s="71">
        <v>44439</v>
      </c>
      <c r="G45" s="313"/>
      <c r="I45" s="70" t="e">
        <f>VLOOKUP(A45,URS確認!E:I,5,FALSE)</f>
        <v>#N/A</v>
      </c>
      <c r="L45" s="313" t="s">
        <v>1449</v>
      </c>
      <c r="P45" s="71"/>
    </row>
    <row r="46" spans="1:16" ht="34.049999999999997" hidden="1" customHeight="1">
      <c r="A46" s="72" t="s">
        <v>1418</v>
      </c>
      <c r="B46" s="69" t="e">
        <f>VLOOKUP(A46,URS確認!$E:$F,2,FALSE)</f>
        <v>#N/A</v>
      </c>
      <c r="C46" s="72">
        <v>2</v>
      </c>
      <c r="D46" s="75" t="s">
        <v>1498</v>
      </c>
      <c r="E46" s="71">
        <v>44398</v>
      </c>
      <c r="F46" s="71">
        <v>44439</v>
      </c>
      <c r="G46" s="313"/>
      <c r="I46" s="70" t="e">
        <f>VLOOKUP(A46,URS確認!E:I,5,FALSE)</f>
        <v>#N/A</v>
      </c>
      <c r="M46" s="313" t="s">
        <v>1465</v>
      </c>
      <c r="P46" s="71"/>
    </row>
    <row r="47" spans="1:16" hidden="1">
      <c r="A47" s="313" t="s">
        <v>1499</v>
      </c>
      <c r="B47" s="69" t="s">
        <v>1500</v>
      </c>
      <c r="C47" s="313">
        <v>1</v>
      </c>
      <c r="D47" s="74" t="s">
        <v>1501</v>
      </c>
      <c r="E47" s="71">
        <v>44398</v>
      </c>
      <c r="F47" s="71">
        <v>44399</v>
      </c>
      <c r="G47" s="71">
        <v>44399</v>
      </c>
      <c r="H47" s="71"/>
      <c r="I47" s="70" t="s">
        <v>1502</v>
      </c>
      <c r="J47" s="313" t="s">
        <v>1449</v>
      </c>
      <c r="P47" s="71"/>
    </row>
    <row r="48" spans="1:16" hidden="1">
      <c r="A48" s="313" t="s">
        <v>1503</v>
      </c>
      <c r="B48" s="69" t="s">
        <v>1504</v>
      </c>
      <c r="C48" s="313">
        <v>1</v>
      </c>
      <c r="D48" s="74" t="s">
        <v>1501</v>
      </c>
      <c r="E48" s="71">
        <v>44398</v>
      </c>
      <c r="F48" s="71">
        <v>44399</v>
      </c>
      <c r="G48" s="71">
        <v>44399</v>
      </c>
      <c r="H48" s="71"/>
      <c r="I48" s="70" t="s">
        <v>1502</v>
      </c>
      <c r="J48" s="313" t="s">
        <v>1449</v>
      </c>
      <c r="P48" s="71"/>
    </row>
    <row r="49" spans="1:16" ht="32.4" hidden="1">
      <c r="A49" s="313" t="s">
        <v>145</v>
      </c>
      <c r="B49" s="69" t="str">
        <f>VLOOKUP(A49,URS確認!$E:$F,2,FALSE)</f>
        <v>顧客明細資料查詢</v>
      </c>
      <c r="C49" s="313">
        <v>1</v>
      </c>
      <c r="D49" s="74" t="s">
        <v>1505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13" t="s">
        <v>1449</v>
      </c>
      <c r="P49" s="71"/>
    </row>
    <row r="50" spans="1:16" ht="66" hidden="1" customHeight="1">
      <c r="A50" s="313" t="s">
        <v>150</v>
      </c>
      <c r="B50" s="69" t="str">
        <f>VLOOKUP(A50,URS確認!$E:$F,2,FALSE)</f>
        <v>顧客基本資料維護-自然人</v>
      </c>
      <c r="C50" s="313">
        <v>1</v>
      </c>
      <c r="D50" s="74" t="s">
        <v>1506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147</v>
      </c>
      <c r="L50" s="313" t="s">
        <v>1449</v>
      </c>
      <c r="P50" s="71"/>
    </row>
    <row r="51" spans="1:16" ht="82.5" hidden="1" customHeight="1">
      <c r="A51" s="313" t="s">
        <v>150</v>
      </c>
      <c r="B51" s="69" t="str">
        <f>VLOOKUP(A51,URS確認!$E:$F,2,FALSE)</f>
        <v>顧客基本資料維護-自然人</v>
      </c>
      <c r="C51" s="313">
        <v>2</v>
      </c>
      <c r="D51" s="74" t="s">
        <v>1507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147</v>
      </c>
      <c r="L51" s="313" t="s">
        <v>1449</v>
      </c>
      <c r="P51" s="71"/>
    </row>
    <row r="52" spans="1:16" ht="82.5" hidden="1" customHeight="1">
      <c r="A52" s="313" t="s">
        <v>150</v>
      </c>
      <c r="B52" s="69" t="str">
        <f>VLOOKUP(A52,URS確認!$E:$F,2,FALSE)</f>
        <v>顧客基本資料維護-自然人</v>
      </c>
      <c r="C52" s="313">
        <v>3</v>
      </c>
      <c r="D52" s="74" t="s">
        <v>1508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147</v>
      </c>
      <c r="L52" s="313" t="s">
        <v>1449</v>
      </c>
      <c r="P52" s="71"/>
    </row>
    <row r="53" spans="1:16" ht="66" hidden="1" customHeight="1">
      <c r="A53" s="313" t="s">
        <v>150</v>
      </c>
      <c r="B53" s="69" t="str">
        <f>VLOOKUP(A53,URS確認!$E:$F,2,FALSE)</f>
        <v>顧客基本資料維護-自然人</v>
      </c>
      <c r="C53" s="313">
        <v>4</v>
      </c>
      <c r="D53" s="74" t="s">
        <v>1509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147</v>
      </c>
      <c r="L53" s="313" t="s">
        <v>1449</v>
      </c>
      <c r="P53" s="71"/>
    </row>
    <row r="54" spans="1:16" ht="66" hidden="1" customHeight="1">
      <c r="A54" s="313" t="s">
        <v>150</v>
      </c>
      <c r="B54" s="69" t="str">
        <f>VLOOKUP(A54,URS確認!$E:$F,2,FALSE)</f>
        <v>顧客基本資料維護-自然人</v>
      </c>
      <c r="C54" s="313">
        <v>5</v>
      </c>
      <c r="D54" s="74" t="s">
        <v>1510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147</v>
      </c>
      <c r="L54" s="313" t="s">
        <v>1449</v>
      </c>
      <c r="P54" s="71"/>
    </row>
    <row r="55" spans="1:16" ht="49.5" hidden="1" customHeight="1">
      <c r="A55" s="313" t="s">
        <v>150</v>
      </c>
      <c r="B55" s="69" t="str">
        <f>VLOOKUP(A55,URS確認!$E:$F,2,FALSE)</f>
        <v>顧客基本資料維護-自然人</v>
      </c>
      <c r="C55" s="313">
        <v>6</v>
      </c>
      <c r="D55" s="74" t="s">
        <v>1511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147</v>
      </c>
      <c r="L55" s="313" t="s">
        <v>1449</v>
      </c>
      <c r="P55" s="71"/>
    </row>
    <row r="56" spans="1:16" hidden="1">
      <c r="A56" s="313" t="s">
        <v>150</v>
      </c>
      <c r="B56" s="69" t="str">
        <f>VLOOKUP(A56,URS確認!$E:$F,2,FALSE)</f>
        <v>顧客基本資料維護-自然人</v>
      </c>
      <c r="C56" s="313">
        <v>7</v>
      </c>
      <c r="D56" s="74" t="s">
        <v>1512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147</v>
      </c>
      <c r="L56" s="313" t="s">
        <v>1449</v>
      </c>
      <c r="P56" s="71"/>
    </row>
    <row r="57" spans="1:16" hidden="1">
      <c r="A57" s="313" t="s">
        <v>150</v>
      </c>
      <c r="B57" s="69" t="str">
        <f>VLOOKUP(A57,URS確認!$E:$F,2,FALSE)</f>
        <v>顧客基本資料維護-自然人</v>
      </c>
      <c r="C57" s="313">
        <v>8</v>
      </c>
      <c r="D57" s="74" t="s">
        <v>1513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147</v>
      </c>
      <c r="L57" s="313" t="s">
        <v>1449</v>
      </c>
      <c r="P57" s="71"/>
    </row>
    <row r="58" spans="1:16" hidden="1">
      <c r="A58" s="313" t="s">
        <v>150</v>
      </c>
      <c r="B58" s="69" t="str">
        <f>VLOOKUP(A58,URS確認!$E:$F,2,FALSE)</f>
        <v>顧客基本資料維護-自然人</v>
      </c>
      <c r="C58" s="313">
        <v>9</v>
      </c>
      <c r="D58" s="74" t="s">
        <v>1514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147</v>
      </c>
      <c r="L58" s="313" t="s">
        <v>1449</v>
      </c>
      <c r="P58" s="71"/>
    </row>
    <row r="59" spans="1:16" ht="33" hidden="1" customHeight="1">
      <c r="A59" s="313" t="s">
        <v>150</v>
      </c>
      <c r="B59" s="69" t="str">
        <f>VLOOKUP(A59,URS確認!$E:$F,2,FALSE)</f>
        <v>顧客基本資料維護-自然人</v>
      </c>
      <c r="C59" s="313">
        <v>10</v>
      </c>
      <c r="D59" s="74" t="s">
        <v>1515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147</v>
      </c>
      <c r="L59" s="313" t="s">
        <v>1449</v>
      </c>
      <c r="P59" s="71"/>
    </row>
    <row r="60" spans="1:16" ht="33" hidden="1" customHeight="1">
      <c r="A60" s="313" t="s">
        <v>150</v>
      </c>
      <c r="B60" s="69" t="str">
        <f>VLOOKUP(A60,URS確認!$E:$F,2,FALSE)</f>
        <v>顧客基本資料維護-自然人</v>
      </c>
      <c r="C60" s="313">
        <v>11</v>
      </c>
      <c r="D60" s="74" t="s">
        <v>1516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147</v>
      </c>
      <c r="M60" s="313" t="s">
        <v>1465</v>
      </c>
      <c r="P60" s="71" t="s">
        <v>1457</v>
      </c>
    </row>
    <row r="61" spans="1:16" ht="33" hidden="1" customHeight="1">
      <c r="A61" s="313" t="s">
        <v>150</v>
      </c>
      <c r="B61" s="69" t="str">
        <f>VLOOKUP(A61,URS確認!$E:$F,2,FALSE)</f>
        <v>顧客基本資料維護-自然人</v>
      </c>
      <c r="C61" s="313">
        <v>12</v>
      </c>
      <c r="D61" s="74" t="s">
        <v>1517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147</v>
      </c>
      <c r="L61" s="313" t="s">
        <v>1449</v>
      </c>
      <c r="P61" s="71"/>
    </row>
    <row r="62" spans="1:16" ht="33" hidden="1" customHeight="1">
      <c r="A62" s="313" t="s">
        <v>150</v>
      </c>
      <c r="B62" s="69" t="str">
        <f>VLOOKUP(A62,URS確認!$E:$F,2,FALSE)</f>
        <v>顧客基本資料維護-自然人</v>
      </c>
      <c r="C62" s="313">
        <v>13</v>
      </c>
      <c r="D62" s="74" t="s">
        <v>1518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147</v>
      </c>
      <c r="M62" s="313" t="s">
        <v>1465</v>
      </c>
      <c r="P62" s="71"/>
    </row>
    <row r="63" spans="1:16" ht="66" hidden="1" customHeight="1">
      <c r="A63" s="313" t="s">
        <v>157</v>
      </c>
      <c r="B63" s="69" t="str">
        <f>VLOOKUP(A63,URS確認!$E:$F,2,FALSE)</f>
        <v>顧客基本資料修改-自然人</v>
      </c>
      <c r="C63" s="313">
        <v>1</v>
      </c>
      <c r="D63" s="74" t="s">
        <v>1506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147</v>
      </c>
      <c r="L63" s="313" t="s">
        <v>1519</v>
      </c>
      <c r="M63" s="313" t="s">
        <v>1473</v>
      </c>
      <c r="P63" s="71"/>
    </row>
    <row r="64" spans="1:16" ht="82.5" hidden="1" customHeight="1">
      <c r="A64" s="313" t="s">
        <v>157</v>
      </c>
      <c r="B64" s="69" t="str">
        <f>VLOOKUP(A64,URS確認!$E:$F,2,FALSE)</f>
        <v>顧客基本資料修改-自然人</v>
      </c>
      <c r="C64" s="313">
        <v>2</v>
      </c>
      <c r="D64" s="74" t="s">
        <v>1520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147</v>
      </c>
      <c r="L64" s="313" t="s">
        <v>1449</v>
      </c>
      <c r="P64" s="71"/>
    </row>
    <row r="65" spans="1:16" ht="33" hidden="1" customHeight="1">
      <c r="A65" s="313" t="s">
        <v>157</v>
      </c>
      <c r="B65" s="69" t="str">
        <f>VLOOKUP(A65,URS確認!$E:$F,2,FALSE)</f>
        <v>顧客基本資料修改-自然人</v>
      </c>
      <c r="C65" s="313">
        <v>3</v>
      </c>
      <c r="D65" s="74" t="s">
        <v>1521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147</v>
      </c>
      <c r="L65" s="313" t="s">
        <v>1449</v>
      </c>
      <c r="P65" s="71"/>
    </row>
    <row r="66" spans="1:16" hidden="1">
      <c r="A66" s="313" t="s">
        <v>157</v>
      </c>
      <c r="B66" s="69" t="str">
        <f>VLOOKUP(A66,URS確認!$E:$F,2,FALSE)</f>
        <v>顧客基本資料修改-自然人</v>
      </c>
      <c r="C66" s="313">
        <v>4</v>
      </c>
      <c r="D66" s="74" t="s">
        <v>1522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147</v>
      </c>
      <c r="N66" s="313" t="s">
        <v>1449</v>
      </c>
      <c r="P66" s="71" t="s">
        <v>1523</v>
      </c>
    </row>
    <row r="67" spans="1:16" ht="66" hidden="1" customHeight="1">
      <c r="A67" s="313" t="s">
        <v>157</v>
      </c>
      <c r="B67" s="69" t="str">
        <f>VLOOKUP(A67,URS確認!$E:$F,2,FALSE)</f>
        <v>顧客基本資料修改-自然人</v>
      </c>
      <c r="C67" s="313">
        <v>5</v>
      </c>
      <c r="D67" s="74" t="s">
        <v>1509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147</v>
      </c>
      <c r="N67" s="313" t="s">
        <v>1449</v>
      </c>
      <c r="P67" s="71" t="s">
        <v>1523</v>
      </c>
    </row>
    <row r="68" spans="1:16" hidden="1">
      <c r="A68" s="313" t="s">
        <v>157</v>
      </c>
      <c r="B68" s="69" t="str">
        <f>VLOOKUP(A68,URS確認!$E:$F,2,FALSE)</f>
        <v>顧客基本資料修改-自然人</v>
      </c>
      <c r="C68" s="313">
        <v>6</v>
      </c>
      <c r="D68" s="74" t="s">
        <v>1524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147</v>
      </c>
      <c r="N68" s="313" t="s">
        <v>1449</v>
      </c>
      <c r="P68" s="71" t="s">
        <v>1523</v>
      </c>
    </row>
    <row r="69" spans="1:16" hidden="1">
      <c r="A69" s="313" t="s">
        <v>157</v>
      </c>
      <c r="B69" s="69" t="str">
        <f>VLOOKUP(A69,URS確認!$E:$F,2,FALSE)</f>
        <v>顧客基本資料修改-自然人</v>
      </c>
      <c r="C69" s="313">
        <v>7</v>
      </c>
      <c r="D69" s="74" t="s">
        <v>1525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147</v>
      </c>
      <c r="L69" s="313" t="s">
        <v>1519</v>
      </c>
      <c r="M69" s="313" t="s">
        <v>1465</v>
      </c>
      <c r="P69" s="71" t="s">
        <v>1523</v>
      </c>
    </row>
    <row r="70" spans="1:16" ht="66" hidden="1" customHeight="1">
      <c r="A70" s="313" t="s">
        <v>157</v>
      </c>
      <c r="B70" s="69" t="str">
        <f>VLOOKUP(A70,URS確認!$E:$F,2,FALSE)</f>
        <v>顧客基本資料修改-自然人</v>
      </c>
      <c r="C70" s="313">
        <v>8</v>
      </c>
      <c r="D70" s="74" t="s">
        <v>1510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147</v>
      </c>
      <c r="L70" s="313" t="s">
        <v>1519</v>
      </c>
      <c r="N70" s="313" t="s">
        <v>1449</v>
      </c>
      <c r="P70" s="71" t="s">
        <v>1523</v>
      </c>
    </row>
    <row r="71" spans="1:16" hidden="1">
      <c r="A71" s="313" t="s">
        <v>157</v>
      </c>
      <c r="B71" s="69" t="str">
        <f>VLOOKUP(A71,URS確認!$E:$F,2,FALSE)</f>
        <v>顧客基本資料修改-自然人</v>
      </c>
      <c r="C71" s="313">
        <v>9</v>
      </c>
      <c r="D71" s="74" t="s">
        <v>1512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147</v>
      </c>
      <c r="L71" s="313" t="s">
        <v>1449</v>
      </c>
      <c r="P71" s="71"/>
    </row>
    <row r="72" spans="1:16" ht="33" hidden="1" customHeight="1">
      <c r="A72" s="313" t="s">
        <v>157</v>
      </c>
      <c r="B72" s="69" t="str">
        <f>VLOOKUP(A72,URS確認!$E:$F,2,FALSE)</f>
        <v>顧客基本資料修改-自然人</v>
      </c>
      <c r="C72" s="313">
        <v>10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147</v>
      </c>
      <c r="L72" s="313" t="s">
        <v>1449</v>
      </c>
      <c r="P72" s="71"/>
    </row>
    <row r="73" spans="1:16" ht="33" hidden="1" customHeight="1">
      <c r="A73" s="313" t="s">
        <v>172</v>
      </c>
      <c r="B73" s="69" t="str">
        <f>VLOOKUP(A73,URS確認!$E:$F,2,FALSE)</f>
        <v>顧客聯絡電話維護</v>
      </c>
      <c r="C73" s="313">
        <v>1</v>
      </c>
      <c r="D73" s="74" t="s">
        <v>1527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13" t="s">
        <v>1449</v>
      </c>
      <c r="P73" s="71"/>
    </row>
    <row r="74" spans="1:16" hidden="1">
      <c r="A74" s="313" t="s">
        <v>172</v>
      </c>
      <c r="B74" s="69" t="str">
        <f>VLOOKUP(A74,URS確認!$E:$F,2,FALSE)</f>
        <v>顧客聯絡電話維護</v>
      </c>
      <c r="C74" s="313">
        <v>2</v>
      </c>
      <c r="D74" s="74" t="s">
        <v>1528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13" t="s">
        <v>1449</v>
      </c>
      <c r="P74" s="71"/>
    </row>
    <row r="75" spans="1:16" ht="49.5" hidden="1" customHeight="1">
      <c r="A75" s="313" t="s">
        <v>299</v>
      </c>
      <c r="B75" s="69" t="str">
        <f>VLOOKUP(A75,URS確認!$E:$F,2,FALSE)</f>
        <v xml:space="preserve">額度與擔保品關聯查詢 </v>
      </c>
      <c r="C75" s="313">
        <v>1</v>
      </c>
      <c r="D75" s="74" t="s">
        <v>1529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1502</v>
      </c>
      <c r="J75" s="313" t="s">
        <v>1449</v>
      </c>
      <c r="P75" s="71"/>
    </row>
    <row r="76" spans="1:16" hidden="1">
      <c r="A76" s="313" t="s">
        <v>174</v>
      </c>
      <c r="B76" s="69" t="str">
        <f>VLOOKUP(A76,URS確認!$E:$F,2,FALSE)</f>
        <v>員工資料檔查詢</v>
      </c>
      <c r="C76" s="313">
        <v>1</v>
      </c>
      <c r="D76" s="74" t="s">
        <v>1530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13" t="s">
        <v>1449</v>
      </c>
      <c r="P76" s="71"/>
    </row>
    <row r="77" spans="1:16" hidden="1">
      <c r="A77" s="313" t="s">
        <v>174</v>
      </c>
      <c r="B77" s="69" t="str">
        <f>VLOOKUP(A77,URS確認!$E:$F,2,FALSE)</f>
        <v>員工資料檔查詢</v>
      </c>
      <c r="C77" s="313">
        <v>2</v>
      </c>
      <c r="D77" s="74" t="s">
        <v>1531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3" t="s">
        <v>1449</v>
      </c>
      <c r="P77" s="71"/>
    </row>
    <row r="78" spans="1:16" hidden="1">
      <c r="A78" s="313" t="s">
        <v>178</v>
      </c>
      <c r="B78" s="69" t="str">
        <f>VLOOKUP(A78,URS確認!$E:$F,2,FALSE)</f>
        <v>申請不列印書面通知書查詢</v>
      </c>
      <c r="C78" s="313">
        <v>1</v>
      </c>
      <c r="D78" s="74" t="s">
        <v>1532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13" t="s">
        <v>1473</v>
      </c>
      <c r="P78" s="71"/>
    </row>
    <row r="79" spans="1:16" hidden="1">
      <c r="A79" s="313" t="s">
        <v>178</v>
      </c>
      <c r="B79" s="69" t="str">
        <f>VLOOKUP(A79,URS確認!$E:$F,2,FALSE)</f>
        <v>申請不列印書面通知書查詢</v>
      </c>
      <c r="C79" s="313">
        <v>2</v>
      </c>
      <c r="D79" s="74" t="s">
        <v>1533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13" t="s">
        <v>1449</v>
      </c>
      <c r="P79" s="71"/>
    </row>
    <row r="80" spans="1:16" ht="33" hidden="1" customHeight="1">
      <c r="A80" s="313" t="s">
        <v>183</v>
      </c>
      <c r="B80" s="69" t="str">
        <f>VLOOKUP(A80,URS確認!$E:$F,2,FALSE)</f>
        <v>申請不列印書面通知書維護</v>
      </c>
      <c r="C80" s="313">
        <v>1</v>
      </c>
      <c r="D80" s="74" t="s">
        <v>1534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13" t="s">
        <v>1449</v>
      </c>
      <c r="P80" s="71"/>
    </row>
    <row r="81" spans="1:16" ht="99" hidden="1" customHeight="1">
      <c r="A81" s="313" t="s">
        <v>183</v>
      </c>
      <c r="B81" s="69" t="str">
        <f>VLOOKUP(A81,URS確認!$E:$F,2,FALSE)</f>
        <v>申請不列印書面通知書維護</v>
      </c>
      <c r="C81" s="313">
        <v>2</v>
      </c>
      <c r="D81" s="74" t="s">
        <v>1535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13" t="s">
        <v>1449</v>
      </c>
      <c r="P81" s="71"/>
    </row>
    <row r="82" spans="1:16" ht="132" hidden="1" customHeight="1">
      <c r="A82" s="313" t="s">
        <v>150</v>
      </c>
      <c r="B82" s="69" t="str">
        <f>VLOOKUP(A82,URS確認!$E:$F,2,FALSE)</f>
        <v>顧客基本資料維護-自然人</v>
      </c>
      <c r="C82" s="313">
        <v>1</v>
      </c>
      <c r="D82" s="74" t="s">
        <v>1536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147</v>
      </c>
      <c r="J82" s="313" t="s">
        <v>1449</v>
      </c>
      <c r="P82" s="71"/>
    </row>
    <row r="83" spans="1:16" hidden="1">
      <c r="A83" s="313" t="s">
        <v>150</v>
      </c>
      <c r="B83" s="69" t="str">
        <f>VLOOKUP(A83,URS確認!$E:$F,2,FALSE)</f>
        <v>顧客基本資料維護-自然人</v>
      </c>
      <c r="C83" s="313">
        <v>2</v>
      </c>
      <c r="D83" s="74" t="s">
        <v>1537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147</v>
      </c>
      <c r="J83" s="313" t="s">
        <v>1449</v>
      </c>
      <c r="P83" s="71"/>
    </row>
    <row r="84" spans="1:16" hidden="1">
      <c r="A84" s="313" t="s">
        <v>150</v>
      </c>
      <c r="B84" s="69" t="str">
        <f>VLOOKUP(A84,URS確認!$E:$F,2,FALSE)</f>
        <v>顧客基本資料維護-自然人</v>
      </c>
      <c r="C84" s="313">
        <v>3</v>
      </c>
      <c r="D84" s="74" t="s">
        <v>1538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147</v>
      </c>
      <c r="J84" s="313" t="s">
        <v>1449</v>
      </c>
      <c r="P84" s="71"/>
    </row>
    <row r="85" spans="1:16" ht="66" hidden="1" customHeight="1">
      <c r="A85" s="313" t="s">
        <v>150</v>
      </c>
      <c r="B85" s="69" t="str">
        <f>VLOOKUP(A85,URS確認!$E:$F,2,FALSE)</f>
        <v>顧客基本資料維護-自然人</v>
      </c>
      <c r="C85" s="313">
        <v>4</v>
      </c>
      <c r="D85" s="74" t="s">
        <v>1539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147</v>
      </c>
      <c r="M85" s="313" t="s">
        <v>1465</v>
      </c>
      <c r="P85" s="71"/>
    </row>
    <row r="86" spans="1:16" hidden="1">
      <c r="A86" s="313" t="s">
        <v>154</v>
      </c>
      <c r="B86" s="69" t="str">
        <f>VLOOKUP(A86,URS確認!$E:$F,2,FALSE)</f>
        <v>顧客基本資料維護-法人</v>
      </c>
      <c r="C86" s="313">
        <v>1</v>
      </c>
      <c r="D86" s="74" t="s">
        <v>1537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147</v>
      </c>
      <c r="J86" s="313" t="s">
        <v>1449</v>
      </c>
      <c r="L86" s="313" t="s">
        <v>1449</v>
      </c>
      <c r="P86" s="71"/>
    </row>
    <row r="87" spans="1:16" hidden="1">
      <c r="A87" s="313" t="s">
        <v>154</v>
      </c>
      <c r="B87" s="69" t="str">
        <f>VLOOKUP(A87,URS確認!$E:$F,2,FALSE)</f>
        <v>顧客基本資料維護-法人</v>
      </c>
      <c r="C87" s="313">
        <v>2</v>
      </c>
      <c r="D87" s="74" t="s">
        <v>1538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147</v>
      </c>
      <c r="J87" s="313" t="s">
        <v>1449</v>
      </c>
      <c r="L87" s="313" t="s">
        <v>1449</v>
      </c>
      <c r="P87" s="71"/>
    </row>
    <row r="88" spans="1:16" hidden="1">
      <c r="A88" s="313" t="s">
        <v>154</v>
      </c>
      <c r="B88" s="69" t="str">
        <f>VLOOKUP(A88,URS確認!$E:$F,2,FALSE)</f>
        <v>顧客基本資料維護-法人</v>
      </c>
      <c r="C88" s="313">
        <v>3</v>
      </c>
      <c r="D88" s="74" t="s">
        <v>1540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147</v>
      </c>
      <c r="J88" s="313" t="s">
        <v>1449</v>
      </c>
      <c r="L88" s="313" t="s">
        <v>1449</v>
      </c>
      <c r="P88" s="71"/>
    </row>
    <row r="89" spans="1:16" hidden="1">
      <c r="A89" s="313" t="s">
        <v>154</v>
      </c>
      <c r="B89" s="69" t="str">
        <f>VLOOKUP(A89,URS確認!$E:$F,2,FALSE)</f>
        <v>顧客基本資料維護-法人</v>
      </c>
      <c r="C89" s="313">
        <v>4</v>
      </c>
      <c r="D89" s="74" t="s">
        <v>1541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147</v>
      </c>
      <c r="J89" s="313" t="s">
        <v>1449</v>
      </c>
      <c r="L89" s="313" t="s">
        <v>1449</v>
      </c>
      <c r="P89" s="71"/>
    </row>
    <row r="90" spans="1:16" hidden="1">
      <c r="A90" s="313" t="s">
        <v>154</v>
      </c>
      <c r="B90" s="69" t="str">
        <f>VLOOKUP(A90,URS確認!$E:$F,2,FALSE)</f>
        <v>顧客基本資料維護-法人</v>
      </c>
      <c r="C90" s="313">
        <v>5</v>
      </c>
      <c r="D90" s="74" t="s">
        <v>1542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147</v>
      </c>
      <c r="J90" s="313" t="s">
        <v>1449</v>
      </c>
      <c r="L90" s="313" t="s">
        <v>1449</v>
      </c>
      <c r="P90" s="71"/>
    </row>
    <row r="91" spans="1:16" hidden="1">
      <c r="A91" s="313" t="s">
        <v>154</v>
      </c>
      <c r="B91" s="69" t="str">
        <f>VLOOKUP(A91,URS確認!$E:$F,2,FALSE)</f>
        <v>顧客基本資料維護-法人</v>
      </c>
      <c r="C91" s="313">
        <v>6</v>
      </c>
      <c r="D91" s="74" t="s">
        <v>1543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147</v>
      </c>
      <c r="J91" s="313" t="s">
        <v>1449</v>
      </c>
      <c r="L91" s="313" t="s">
        <v>1449</v>
      </c>
      <c r="P91" s="71"/>
    </row>
    <row r="92" spans="1:16" ht="66" hidden="1" customHeight="1">
      <c r="A92" s="313" t="s">
        <v>154</v>
      </c>
      <c r="B92" s="69" t="str">
        <f>VLOOKUP(A92,URS確認!$E:$F,2,FALSE)</f>
        <v>顧客基本資料維護-法人</v>
      </c>
      <c r="C92" s="313">
        <v>7</v>
      </c>
      <c r="D92" s="74" t="s">
        <v>1509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147</v>
      </c>
      <c r="N92" s="313" t="s">
        <v>1449</v>
      </c>
      <c r="P92" s="71"/>
    </row>
    <row r="93" spans="1:16" ht="82.5" hidden="1" customHeight="1">
      <c r="A93" s="313" t="s">
        <v>154</v>
      </c>
      <c r="B93" s="69" t="str">
        <f>VLOOKUP(A93,URS確認!$E:$F,2,FALSE)</f>
        <v>顧客基本資料維護-法人</v>
      </c>
      <c r="C93" s="313">
        <v>8</v>
      </c>
      <c r="D93" s="74" t="s">
        <v>1544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147</v>
      </c>
      <c r="N93" s="313" t="s">
        <v>1449</v>
      </c>
      <c r="P93" s="71"/>
    </row>
    <row r="94" spans="1:16" ht="33" hidden="1" customHeight="1">
      <c r="A94" s="313" t="s">
        <v>154</v>
      </c>
      <c r="B94" s="69" t="str">
        <f>VLOOKUP(A94,URS確認!$E:$F,2,FALSE)</f>
        <v>顧客基本資料維護-法人</v>
      </c>
      <c r="C94" s="313">
        <v>9</v>
      </c>
      <c r="D94" s="74" t="s">
        <v>1545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147</v>
      </c>
      <c r="M94" s="313" t="s">
        <v>1456</v>
      </c>
      <c r="P94" s="71"/>
    </row>
    <row r="95" spans="1:16" hidden="1">
      <c r="A95" s="313" t="s">
        <v>154</v>
      </c>
      <c r="B95" s="69" t="str">
        <f>VLOOKUP(A95,URS確認!$E:$F,2,FALSE)</f>
        <v>顧客基本資料維護-法人</v>
      </c>
      <c r="C95" s="313">
        <v>10</v>
      </c>
      <c r="D95" s="74" t="s">
        <v>1546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147</v>
      </c>
      <c r="M95" s="313" t="s">
        <v>1465</v>
      </c>
      <c r="P95" s="71"/>
    </row>
    <row r="96" spans="1:16" ht="33" hidden="1" customHeight="1">
      <c r="A96" s="313" t="s">
        <v>154</v>
      </c>
      <c r="B96" s="69" t="str">
        <f>VLOOKUP(A96,URS確認!$E:$F,2,FALSE)</f>
        <v>顧客基本資料維護-法人</v>
      </c>
      <c r="C96" s="313">
        <v>11</v>
      </c>
      <c r="D96" s="74" t="s">
        <v>1547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147</v>
      </c>
      <c r="M96" s="313" t="s">
        <v>1465</v>
      </c>
      <c r="P96" s="71"/>
    </row>
    <row r="97" spans="1:16" hidden="1">
      <c r="A97" s="313" t="s">
        <v>161</v>
      </c>
      <c r="B97" s="69" t="str">
        <f>VLOOKUP(A97,URS確認!$E:$F,2,FALSE)</f>
        <v>顧客基本資料修改-法人</v>
      </c>
      <c r="C97" s="313">
        <v>1</v>
      </c>
      <c r="D97" s="74" t="s">
        <v>1548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147</v>
      </c>
      <c r="N97" s="313" t="s">
        <v>1449</v>
      </c>
      <c r="P97" s="71"/>
    </row>
    <row r="98" spans="1:16" ht="66" hidden="1" customHeight="1">
      <c r="A98" s="313" t="s">
        <v>161</v>
      </c>
      <c r="B98" s="69" t="str">
        <f>VLOOKUP(A98,URS確認!$E:$F,2,FALSE)</f>
        <v>顧客基本資料修改-法人</v>
      </c>
      <c r="C98" s="313">
        <v>2</v>
      </c>
      <c r="D98" s="74" t="s">
        <v>1509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147</v>
      </c>
      <c r="N98" s="313" t="s">
        <v>1449</v>
      </c>
      <c r="P98" s="71"/>
    </row>
    <row r="99" spans="1:16" hidden="1">
      <c r="A99" s="313" t="s">
        <v>161</v>
      </c>
      <c r="B99" s="69" t="str">
        <f>VLOOKUP(A99,URS確認!$E:$F,2,FALSE)</f>
        <v>顧客基本資料修改-法人</v>
      </c>
      <c r="C99" s="313">
        <v>3</v>
      </c>
      <c r="D99" s="74" t="s">
        <v>1549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147</v>
      </c>
      <c r="N99" s="313" t="s">
        <v>1449</v>
      </c>
      <c r="P99" s="71"/>
    </row>
    <row r="100" spans="1:16" hidden="1">
      <c r="A100" s="313" t="s">
        <v>161</v>
      </c>
      <c r="B100" s="69" t="str">
        <f>VLOOKUP(A100,URS確認!$E:$F,2,FALSE)</f>
        <v>顧客基本資料修改-法人</v>
      </c>
      <c r="C100" s="313">
        <v>4</v>
      </c>
      <c r="D100" s="74" t="s">
        <v>1550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147</v>
      </c>
      <c r="M100" s="313" t="s">
        <v>1465</v>
      </c>
      <c r="P100" s="71"/>
    </row>
    <row r="101" spans="1:16" ht="66" hidden="1" customHeight="1">
      <c r="A101" s="313" t="s">
        <v>161</v>
      </c>
      <c r="B101" s="69" t="str">
        <f>VLOOKUP(A101,URS確認!$E:$F,2,FALSE)</f>
        <v>顧客基本資料修改-法人</v>
      </c>
      <c r="C101" s="313">
        <v>5</v>
      </c>
      <c r="D101" s="74" t="s">
        <v>1510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147</v>
      </c>
      <c r="N101" s="313" t="s">
        <v>1449</v>
      </c>
      <c r="P101" s="71"/>
    </row>
    <row r="102" spans="1:16" hidden="1">
      <c r="A102" s="313" t="s">
        <v>161</v>
      </c>
      <c r="B102" s="69" t="str">
        <f>VLOOKUP(A102,URS確認!$E:$F,2,FALSE)</f>
        <v>顧客基本資料修改-法人</v>
      </c>
      <c r="C102" s="313">
        <v>6</v>
      </c>
      <c r="D102" s="74" t="s">
        <v>1512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147</v>
      </c>
      <c r="L102" s="313" t="s">
        <v>1449</v>
      </c>
      <c r="P102" s="71"/>
    </row>
    <row r="103" spans="1:16" ht="33" hidden="1" customHeight="1">
      <c r="A103" s="313" t="s">
        <v>161</v>
      </c>
      <c r="B103" s="69" t="str">
        <f>VLOOKUP(A103,URS確認!$E:$F,2,FALSE)</f>
        <v>顧客基本資料修改-法人</v>
      </c>
      <c r="C103" s="313">
        <v>7</v>
      </c>
      <c r="D103" s="74" t="s">
        <v>1551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147</v>
      </c>
      <c r="L103" s="313" t="s">
        <v>1449</v>
      </c>
      <c r="P103" s="71"/>
    </row>
    <row r="104" spans="1:16" ht="33" hidden="1" customHeight="1">
      <c r="A104" s="313" t="s">
        <v>1389</v>
      </c>
      <c r="B104" s="69" t="e">
        <f>VLOOKUP(A104,URS確認!$E:$F,2,FALSE)</f>
        <v>#N/A</v>
      </c>
      <c r="C104" s="313">
        <v>1</v>
      </c>
      <c r="D104" s="74" t="s">
        <v>1552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13" t="s">
        <v>1449</v>
      </c>
      <c r="P104" s="71"/>
    </row>
    <row r="105" spans="1:16" ht="33" hidden="1" customHeight="1">
      <c r="A105" s="313" t="s">
        <v>1389</v>
      </c>
      <c r="B105" s="69" t="e">
        <f>VLOOKUP(A105,URS確認!$E:$F,2,FALSE)</f>
        <v>#N/A</v>
      </c>
      <c r="C105" s="313">
        <v>2</v>
      </c>
      <c r="D105" s="74" t="s">
        <v>1553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13" t="s">
        <v>1449</v>
      </c>
      <c r="P105" s="71"/>
    </row>
    <row r="106" spans="1:16" ht="33" hidden="1" customHeight="1">
      <c r="A106" s="313" t="s">
        <v>1389</v>
      </c>
      <c r="B106" s="69" t="e">
        <f>VLOOKUP(A106,URS確認!$E:$F,2,FALSE)</f>
        <v>#N/A</v>
      </c>
      <c r="C106" s="313">
        <v>3</v>
      </c>
      <c r="D106" s="74" t="s">
        <v>1554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13" t="s">
        <v>1449</v>
      </c>
      <c r="P106" s="71"/>
    </row>
    <row r="107" spans="1:16" hidden="1">
      <c r="A107" s="313" t="s">
        <v>1555</v>
      </c>
      <c r="B107" s="69" t="s">
        <v>1556</v>
      </c>
      <c r="C107" s="313">
        <v>1</v>
      </c>
      <c r="D107" s="74" t="s">
        <v>1557</v>
      </c>
      <c r="E107" s="71">
        <v>44403</v>
      </c>
      <c r="F107" s="71">
        <v>44439</v>
      </c>
      <c r="G107" s="71">
        <v>44440</v>
      </c>
      <c r="I107" s="70" t="s">
        <v>1502</v>
      </c>
      <c r="L107" s="313" t="s">
        <v>1449</v>
      </c>
      <c r="P107" s="71"/>
    </row>
    <row r="108" spans="1:16" hidden="1">
      <c r="A108" s="313" t="s">
        <v>1555</v>
      </c>
      <c r="B108" s="69" t="s">
        <v>1556</v>
      </c>
      <c r="C108" s="313">
        <v>2</v>
      </c>
      <c r="D108" s="74" t="s">
        <v>1558</v>
      </c>
      <c r="E108" s="71">
        <v>44403</v>
      </c>
      <c r="F108" s="71">
        <v>44439</v>
      </c>
      <c r="G108" s="71">
        <v>44440</v>
      </c>
      <c r="I108" s="70" t="s">
        <v>1502</v>
      </c>
      <c r="L108" s="313" t="s">
        <v>1449</v>
      </c>
      <c r="P108" s="71"/>
    </row>
    <row r="109" spans="1:16" hidden="1">
      <c r="A109" s="313" t="s">
        <v>1555</v>
      </c>
      <c r="B109" s="69" t="s">
        <v>1556</v>
      </c>
      <c r="C109" s="313">
        <v>3</v>
      </c>
      <c r="D109" s="74" t="s">
        <v>1559</v>
      </c>
      <c r="E109" s="71">
        <v>44403</v>
      </c>
      <c r="F109" s="71">
        <v>44439</v>
      </c>
      <c r="G109" s="71">
        <v>44440</v>
      </c>
      <c r="I109" s="70" t="s">
        <v>1502</v>
      </c>
      <c r="L109" s="313" t="s">
        <v>1449</v>
      </c>
      <c r="P109" s="71"/>
    </row>
    <row r="110" spans="1:16" hidden="1">
      <c r="A110" s="313" t="s">
        <v>1555</v>
      </c>
      <c r="B110" s="69" t="s">
        <v>1556</v>
      </c>
      <c r="C110" s="313">
        <v>4</v>
      </c>
      <c r="D110" s="74" t="s">
        <v>1560</v>
      </c>
      <c r="E110" s="71">
        <v>44403</v>
      </c>
      <c r="F110" s="71">
        <v>44439</v>
      </c>
      <c r="G110" s="71">
        <v>44440</v>
      </c>
      <c r="I110" s="70" t="s">
        <v>1502</v>
      </c>
      <c r="L110" s="313" t="s">
        <v>1449</v>
      </c>
      <c r="P110" s="71"/>
    </row>
    <row r="111" spans="1:16" ht="33" hidden="1" customHeight="1">
      <c r="A111" s="313" t="s">
        <v>1555</v>
      </c>
      <c r="B111" s="69" t="s">
        <v>1556</v>
      </c>
      <c r="C111" s="313">
        <v>5</v>
      </c>
      <c r="D111" s="74" t="s">
        <v>1561</v>
      </c>
      <c r="E111" s="71">
        <v>44403</v>
      </c>
      <c r="F111" s="113" t="s">
        <v>1493</v>
      </c>
      <c r="G111" s="71">
        <v>44440</v>
      </c>
      <c r="I111" s="70" t="s">
        <v>1502</v>
      </c>
      <c r="P111" s="71"/>
    </row>
    <row r="112" spans="1:16">
      <c r="A112" s="313" t="s">
        <v>848</v>
      </c>
      <c r="B112" s="69" t="str">
        <f>VLOOKUP(A112,URS確認!$E:$F,2,FALSE)</f>
        <v>指標利率種類維護</v>
      </c>
      <c r="C112" s="313">
        <v>1</v>
      </c>
      <c r="D112" s="74" t="s">
        <v>1562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13" t="s">
        <v>1465</v>
      </c>
      <c r="P112" s="71" t="s">
        <v>1563</v>
      </c>
    </row>
    <row r="113" spans="1:17">
      <c r="A113" s="313" t="s">
        <v>850</v>
      </c>
      <c r="B113" s="69" t="str">
        <f>VLOOKUP(A113,URS確認!$E:$F,2,FALSE)</f>
        <v>指標利率登錄/維護</v>
      </c>
      <c r="C113" s="313">
        <v>1</v>
      </c>
      <c r="D113" s="74" t="s">
        <v>1564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13" t="s">
        <v>1449</v>
      </c>
      <c r="P113" s="71"/>
    </row>
    <row r="114" spans="1:17" hidden="1">
      <c r="A114" s="313" t="s">
        <v>207</v>
      </c>
      <c r="B114" s="69" t="str">
        <f>VLOOKUP(A114,URS確認!$E:$F,2,FALSE)</f>
        <v>商品參數維護</v>
      </c>
      <c r="C114" s="313">
        <v>1</v>
      </c>
      <c r="D114" s="74" t="s">
        <v>1565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13" t="s">
        <v>1449</v>
      </c>
      <c r="P114" s="71"/>
    </row>
    <row r="115" spans="1:17" hidden="1">
      <c r="A115" s="313" t="s">
        <v>207</v>
      </c>
      <c r="B115" s="69" t="str">
        <f>VLOOKUP(A115,URS確認!$E:$F,2,FALSE)</f>
        <v>商品參數維護</v>
      </c>
      <c r="C115" s="313">
        <v>2</v>
      </c>
      <c r="D115" s="74" t="s">
        <v>1566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3" t="s">
        <v>1449</v>
      </c>
      <c r="P115" s="71"/>
    </row>
    <row r="116" spans="1:17" hidden="1">
      <c r="A116" s="313" t="s">
        <v>207</v>
      </c>
      <c r="B116" s="69" t="str">
        <f>VLOOKUP(A116,URS確認!$E:$F,2,FALSE)</f>
        <v>商品參數維護</v>
      </c>
      <c r="C116" s="313">
        <v>3</v>
      </c>
      <c r="D116" s="74" t="s">
        <v>1567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13" t="s">
        <v>1465</v>
      </c>
      <c r="P116" s="71" t="s">
        <v>1457</v>
      </c>
    </row>
    <row r="117" spans="1:17" hidden="1">
      <c r="A117" s="313" t="s">
        <v>207</v>
      </c>
      <c r="B117" s="69" t="str">
        <f>VLOOKUP(A117,URS確認!$E:$F,2,FALSE)</f>
        <v>商品參數維護</v>
      </c>
      <c r="C117" s="313">
        <v>4</v>
      </c>
      <c r="D117" s="74" t="s">
        <v>1568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13" t="s">
        <v>1465</v>
      </c>
      <c r="P117" s="71" t="s">
        <v>1457</v>
      </c>
    </row>
    <row r="118" spans="1:17" hidden="1">
      <c r="A118" s="313" t="s">
        <v>207</v>
      </c>
      <c r="B118" s="69" t="str">
        <f>VLOOKUP(A118,URS確認!$E:$F,2,FALSE)</f>
        <v>商品參數維護</v>
      </c>
      <c r="C118" s="313">
        <v>5</v>
      </c>
      <c r="D118" s="74" t="s">
        <v>1569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3" t="s">
        <v>1465</v>
      </c>
      <c r="P118" s="71" t="s">
        <v>1570</v>
      </c>
      <c r="Q118" s="69" t="s">
        <v>1571</v>
      </c>
    </row>
    <row r="119" spans="1:17" hidden="1">
      <c r="A119" s="313" t="s">
        <v>211</v>
      </c>
      <c r="B119" s="69" t="str">
        <f>VLOOKUP(A119,URS確認!$E:$F,2,FALSE)</f>
        <v xml:space="preserve">申請案件明細資料查詢                    </v>
      </c>
      <c r="C119" s="313">
        <v>1</v>
      </c>
      <c r="D119" s="74" t="s">
        <v>1572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余家興</v>
      </c>
      <c r="L119" s="313" t="s">
        <v>1449</v>
      </c>
      <c r="P119" s="71"/>
    </row>
    <row r="120" spans="1:17" ht="33" hidden="1" customHeight="1">
      <c r="A120" s="313" t="s">
        <v>211</v>
      </c>
      <c r="B120" s="69" t="str">
        <f>VLOOKUP(A120,URS確認!$E:$F,2,FALSE)</f>
        <v xml:space="preserve">申請案件明細資料查詢                    </v>
      </c>
      <c r="C120" s="313">
        <v>2</v>
      </c>
      <c r="D120" s="74" t="s">
        <v>1573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余家興</v>
      </c>
      <c r="J120" s="313" t="s">
        <v>1449</v>
      </c>
      <c r="P120" s="71"/>
    </row>
    <row r="121" spans="1:17" hidden="1">
      <c r="A121" s="313" t="s">
        <v>215</v>
      </c>
      <c r="B121" s="69" t="str">
        <f>VLOOKUP(A121,URS確認!$E:$F,2,FALSE)</f>
        <v>案件申請登錄</v>
      </c>
      <c r="C121" s="313">
        <v>1</v>
      </c>
      <c r="D121" s="74" t="s">
        <v>1546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13" t="s">
        <v>1465</v>
      </c>
      <c r="P121" s="71"/>
    </row>
    <row r="122" spans="1:17" hidden="1">
      <c r="A122" s="313" t="s">
        <v>215</v>
      </c>
      <c r="B122" s="69" t="str">
        <f>VLOOKUP(A122,URS確認!$E:$F,2,FALSE)</f>
        <v>案件申請登錄</v>
      </c>
      <c r="C122" s="313">
        <v>2</v>
      </c>
      <c r="D122" s="74" t="s">
        <v>1574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13" t="s">
        <v>1449</v>
      </c>
      <c r="P122" s="71"/>
    </row>
    <row r="123" spans="1:17" ht="33" hidden="1" customHeight="1">
      <c r="A123" s="313" t="s">
        <v>218</v>
      </c>
      <c r="B123" s="69" t="str">
        <f>VLOOKUP(A123,URS確認!$E:$F,2,FALSE)</f>
        <v>核准額度登錄</v>
      </c>
      <c r="C123" s="313">
        <v>3</v>
      </c>
      <c r="D123" s="74" t="s">
        <v>1575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13" t="s">
        <v>1465</v>
      </c>
      <c r="P123" s="71" t="s">
        <v>1457</v>
      </c>
      <c r="Q123" s="69" t="s">
        <v>1576</v>
      </c>
    </row>
    <row r="124" spans="1:17" ht="33" hidden="1" customHeight="1">
      <c r="A124" s="313" t="s">
        <v>218</v>
      </c>
      <c r="B124" s="69" t="str">
        <f>VLOOKUP(A124,URS確認!$E:$F,2,FALSE)</f>
        <v>核准額度登錄</v>
      </c>
      <c r="C124" s="313">
        <v>4</v>
      </c>
      <c r="D124" s="74" t="s">
        <v>1577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13" t="s">
        <v>1465</v>
      </c>
      <c r="P124" s="71" t="s">
        <v>1457</v>
      </c>
      <c r="Q124" s="69" t="s">
        <v>1576</v>
      </c>
    </row>
    <row r="125" spans="1:17" hidden="1">
      <c r="A125" s="313" t="s">
        <v>215</v>
      </c>
      <c r="B125" s="69" t="str">
        <f>VLOOKUP(A125,URS確認!$E:$F,2,FALSE)</f>
        <v>案件申請登錄</v>
      </c>
      <c r="C125" s="313">
        <v>5</v>
      </c>
      <c r="D125" s="74" t="s">
        <v>1578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13" t="s">
        <v>1465</v>
      </c>
      <c r="P125" s="71" t="s">
        <v>1457</v>
      </c>
    </row>
    <row r="126" spans="1:17" hidden="1">
      <c r="A126" s="313" t="s">
        <v>215</v>
      </c>
      <c r="B126" s="69" t="str">
        <f>VLOOKUP(A126,URS確認!$E:$F,2,FALSE)</f>
        <v>案件申請登錄</v>
      </c>
      <c r="C126" s="313">
        <v>6</v>
      </c>
      <c r="D126" s="74" t="s">
        <v>1579</v>
      </c>
      <c r="E126" s="71">
        <v>44403</v>
      </c>
      <c r="F126" s="71" t="s">
        <v>1493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>
      <c r="A127" s="313" t="s">
        <v>215</v>
      </c>
      <c r="B127" s="69" t="str">
        <f>VLOOKUP(A127,URS確認!$E:$F,2,FALSE)</f>
        <v>案件申請登錄</v>
      </c>
      <c r="C127" s="313">
        <v>7</v>
      </c>
      <c r="D127" s="74" t="s">
        <v>1580</v>
      </c>
      <c r="E127" s="71">
        <v>44403</v>
      </c>
      <c r="F127" s="71" t="s">
        <v>1493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>
      <c r="A128" s="313" t="s">
        <v>215</v>
      </c>
      <c r="B128" s="69" t="str">
        <f>VLOOKUP(A128,URS確認!$E:$F,2,FALSE)</f>
        <v>案件申請登錄</v>
      </c>
      <c r="C128" s="313">
        <v>8</v>
      </c>
      <c r="D128" s="74" t="s">
        <v>1581</v>
      </c>
      <c r="E128" s="71">
        <v>44403</v>
      </c>
      <c r="F128" s="71" t="s">
        <v>1493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1563</v>
      </c>
    </row>
    <row r="129" spans="1:16" ht="33" hidden="1" customHeight="1">
      <c r="A129" s="77" t="s">
        <v>224</v>
      </c>
      <c r="B129" s="69" t="str">
        <f>VLOOKUP(A129,URS確認!$E:$F,2,FALSE)</f>
        <v xml:space="preserve">團體戶申請登錄                          </v>
      </c>
      <c r="C129" s="313">
        <v>1</v>
      </c>
      <c r="D129" s="74" t="s">
        <v>1582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13" t="s">
        <v>1449</v>
      </c>
      <c r="P129" s="71"/>
    </row>
    <row r="130" spans="1:16" hidden="1">
      <c r="A130" s="77" t="s">
        <v>224</v>
      </c>
      <c r="B130" s="69" t="str">
        <f>VLOOKUP(A130,URS確認!$E:$F,2,FALSE)</f>
        <v xml:space="preserve">團體戶申請登錄                          </v>
      </c>
      <c r="C130" s="313">
        <v>2</v>
      </c>
      <c r="D130" s="74" t="s">
        <v>1583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3" t="s">
        <v>1449</v>
      </c>
      <c r="P130" s="71"/>
    </row>
    <row r="131" spans="1:16" hidden="1">
      <c r="A131" s="77" t="s">
        <v>224</v>
      </c>
      <c r="B131" s="69" t="str">
        <f>VLOOKUP(A131,URS確認!$E:$F,2,FALSE)</f>
        <v xml:space="preserve">團體戶申請登錄                          </v>
      </c>
      <c r="C131" s="313">
        <v>3</v>
      </c>
      <c r="D131" s="74" t="s">
        <v>1584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3" t="s">
        <v>1449</v>
      </c>
      <c r="P131" s="71"/>
    </row>
    <row r="132" spans="1:16" hidden="1">
      <c r="A132" s="313" t="s">
        <v>218</v>
      </c>
      <c r="B132" s="69" t="str">
        <f>VLOOKUP(A132,URS確認!$E:$F,2,FALSE)</f>
        <v>核准額度登錄</v>
      </c>
      <c r="C132" s="313">
        <v>1</v>
      </c>
      <c r="D132" s="74" t="s">
        <v>1585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13" t="s">
        <v>1449</v>
      </c>
      <c r="P132" s="71"/>
    </row>
    <row r="133" spans="1:16" ht="33" hidden="1" customHeight="1">
      <c r="A133" s="313" t="s">
        <v>218</v>
      </c>
      <c r="B133" s="69" t="str">
        <f>VLOOKUP(A133,URS確認!$E:$F,2,FALSE)</f>
        <v>核准額度登錄</v>
      </c>
      <c r="C133" s="313">
        <v>2</v>
      </c>
      <c r="D133" s="74" t="s">
        <v>1586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13" t="s">
        <v>1449</v>
      </c>
      <c r="P133" s="70"/>
    </row>
    <row r="134" spans="1:16" hidden="1">
      <c r="A134" s="313" t="s">
        <v>218</v>
      </c>
      <c r="B134" s="69" t="str">
        <f>VLOOKUP(A134,URS確認!$E:$F,2,FALSE)</f>
        <v>核准額度登錄</v>
      </c>
      <c r="C134" s="313">
        <v>3</v>
      </c>
      <c r="D134" s="74" t="s">
        <v>1587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13" t="s">
        <v>1465</v>
      </c>
      <c r="P134" s="71" t="s">
        <v>1457</v>
      </c>
    </row>
    <row r="135" spans="1:16" ht="34.049999999999997" hidden="1" customHeight="1">
      <c r="A135" s="313" t="s">
        <v>218</v>
      </c>
      <c r="B135" s="69" t="str">
        <f>VLOOKUP(A135,URS確認!$E:$F,2,FALSE)</f>
        <v>核准額度登錄</v>
      </c>
      <c r="C135" s="313">
        <v>4</v>
      </c>
      <c r="D135" s="74" t="s">
        <v>1588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13" t="s">
        <v>1449</v>
      </c>
      <c r="P135" s="71" t="s">
        <v>1570</v>
      </c>
    </row>
    <row r="136" spans="1:16" hidden="1">
      <c r="A136" s="313" t="s">
        <v>218</v>
      </c>
      <c r="B136" s="69" t="str">
        <f>VLOOKUP(A136,URS確認!$E:$F,2,FALSE)</f>
        <v>核准額度登錄</v>
      </c>
      <c r="C136" s="313">
        <v>5</v>
      </c>
      <c r="D136" s="74" t="s">
        <v>1589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13" t="s">
        <v>1449</v>
      </c>
      <c r="P136" s="70"/>
    </row>
    <row r="137" spans="1:16" hidden="1">
      <c r="A137" s="313" t="s">
        <v>218</v>
      </c>
      <c r="B137" s="69" t="str">
        <f>VLOOKUP(A137,URS確認!$E:$F,2,FALSE)</f>
        <v>核准額度登錄</v>
      </c>
      <c r="C137" s="313">
        <v>6</v>
      </c>
      <c r="D137" s="74" t="s">
        <v>1590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3" t="s">
        <v>1449</v>
      </c>
      <c r="P137" s="70"/>
    </row>
    <row r="138" spans="1:16" hidden="1">
      <c r="A138" s="313" t="s">
        <v>218</v>
      </c>
      <c r="B138" s="69" t="str">
        <f>VLOOKUP(A138,URS確認!$E:$F,2,FALSE)</f>
        <v>核准額度登錄</v>
      </c>
      <c r="C138" s="313">
        <v>7</v>
      </c>
      <c r="D138" s="74" t="s">
        <v>1591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13" t="s">
        <v>1465</v>
      </c>
      <c r="P138" s="71"/>
    </row>
    <row r="139" spans="1:16" hidden="1">
      <c r="A139" s="313" t="s">
        <v>218</v>
      </c>
      <c r="B139" s="69" t="str">
        <f>VLOOKUP(A139,URS確認!$E:$F,2,FALSE)</f>
        <v>核准額度登錄</v>
      </c>
      <c r="C139" s="313">
        <v>8</v>
      </c>
      <c r="D139" s="74" t="s">
        <v>1592</v>
      </c>
      <c r="E139" s="71">
        <v>44403</v>
      </c>
      <c r="F139" s="71" t="s">
        <v>1493</v>
      </c>
      <c r="G139" s="313"/>
      <c r="I139" s="70" t="str">
        <f>VLOOKUP(A139,URS確認!E:I,5,FALSE)</f>
        <v>余家興</v>
      </c>
      <c r="P139" s="71"/>
    </row>
    <row r="140" spans="1:16" ht="34.049999999999997" hidden="1" customHeight="1">
      <c r="A140" s="313" t="s">
        <v>218</v>
      </c>
      <c r="B140" s="69" t="str">
        <f>VLOOKUP(A140,URS確認!$E:$F,2,FALSE)</f>
        <v>核准額度登錄</v>
      </c>
      <c r="C140" s="313">
        <v>9</v>
      </c>
      <c r="D140" s="74" t="s">
        <v>1593</v>
      </c>
      <c r="E140" s="71">
        <v>44403</v>
      </c>
      <c r="F140" s="71" t="s">
        <v>1493</v>
      </c>
      <c r="G140" s="313"/>
      <c r="I140" s="70" t="str">
        <f>VLOOKUP(A140,URS確認!E:I,5,FALSE)</f>
        <v>余家興</v>
      </c>
      <c r="P140" s="71"/>
    </row>
    <row r="141" spans="1:16" hidden="1">
      <c r="A141" s="313" t="s">
        <v>227</v>
      </c>
      <c r="B141" s="69" t="str">
        <f>VLOOKUP(A141,URS確認!$E:$F,2,FALSE)</f>
        <v xml:space="preserve">額度明細資料查詢                        </v>
      </c>
      <c r="C141" s="313">
        <v>1</v>
      </c>
      <c r="D141" s="74" t="s">
        <v>1594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余家興</v>
      </c>
      <c r="L141" s="313" t="s">
        <v>1449</v>
      </c>
      <c r="P141" s="71"/>
    </row>
    <row r="142" spans="1:16" ht="66" hidden="1" customHeight="1">
      <c r="A142" s="313" t="s">
        <v>230</v>
      </c>
      <c r="B142" s="69" t="str">
        <f>VLOOKUP(A142,URS確認!$E:$F,2,FALSE)</f>
        <v xml:space="preserve">額度資料維護                            </v>
      </c>
      <c r="C142" s="313">
        <v>1</v>
      </c>
      <c r="D142" s="74" t="s">
        <v>1595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13" t="s">
        <v>1465</v>
      </c>
      <c r="P142" s="71" t="s">
        <v>1563</v>
      </c>
    </row>
    <row r="143" spans="1:16" hidden="1">
      <c r="A143" s="313" t="s">
        <v>230</v>
      </c>
      <c r="B143" s="69" t="str">
        <f>VLOOKUP(A143,URS確認!$E:$F,2,FALSE)</f>
        <v xml:space="preserve">額度資料維護                            </v>
      </c>
      <c r="C143" s="313">
        <v>2</v>
      </c>
      <c r="D143" s="74" t="s">
        <v>1596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13" t="s">
        <v>1449</v>
      </c>
      <c r="P143" s="70"/>
    </row>
    <row r="144" spans="1:16" hidden="1">
      <c r="A144" s="313" t="s">
        <v>230</v>
      </c>
      <c r="B144" s="69" t="str">
        <f>VLOOKUP(A144,URS確認!$E:$F,2,FALSE)</f>
        <v xml:space="preserve">額度資料維護                            </v>
      </c>
      <c r="C144" s="313">
        <v>3</v>
      </c>
      <c r="D144" s="74" t="s">
        <v>1597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13" t="s">
        <v>1449</v>
      </c>
      <c r="P144" s="71"/>
    </row>
    <row r="145" spans="1:16" hidden="1">
      <c r="A145" s="313" t="s">
        <v>230</v>
      </c>
      <c r="B145" s="69" t="str">
        <f>VLOOKUP(A145,URS確認!$E:$F,2,FALSE)</f>
        <v xml:space="preserve">額度資料維護                            </v>
      </c>
      <c r="C145" s="313">
        <v>4</v>
      </c>
      <c r="D145" s="74" t="s">
        <v>1598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13" t="s">
        <v>1449</v>
      </c>
      <c r="P145" s="70"/>
    </row>
    <row r="146" spans="1:16" hidden="1">
      <c r="A146" s="313" t="s">
        <v>230</v>
      </c>
      <c r="B146" s="69" t="str">
        <f>VLOOKUP(A146,URS確認!$E:$F,2,FALSE)</f>
        <v xml:space="preserve">額度資料維護                            </v>
      </c>
      <c r="C146" s="313">
        <v>5</v>
      </c>
      <c r="D146" s="74" t="s">
        <v>1599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13" t="s">
        <v>1449</v>
      </c>
      <c r="P146" s="71"/>
    </row>
    <row r="147" spans="1:16" hidden="1">
      <c r="A147" s="313" t="s">
        <v>230</v>
      </c>
      <c r="B147" s="69" t="str">
        <f>VLOOKUP(A147,URS確認!$E:$F,2,FALSE)</f>
        <v xml:space="preserve">額度資料維護                            </v>
      </c>
      <c r="C147" s="313">
        <v>6</v>
      </c>
      <c r="D147" s="74" t="s">
        <v>1600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13" t="s">
        <v>1449</v>
      </c>
      <c r="P147" s="70"/>
    </row>
    <row r="148" spans="1:16" ht="33" hidden="1" customHeight="1">
      <c r="A148" s="72" t="s">
        <v>230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1601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203</v>
      </c>
      <c r="M148" s="313" t="s">
        <v>1465</v>
      </c>
      <c r="P148" s="70" t="s">
        <v>1487</v>
      </c>
    </row>
    <row r="149" spans="1:16" hidden="1">
      <c r="A149" s="72" t="s">
        <v>233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1602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13" t="s">
        <v>1449</v>
      </c>
      <c r="P149" s="70"/>
    </row>
    <row r="150" spans="1:16" ht="99" hidden="1" customHeight="1">
      <c r="A150" s="313" t="s">
        <v>342</v>
      </c>
      <c r="B150" s="69" t="str">
        <f>VLOOKUP(A150,URS確認!$E:$F,2,FALSE)</f>
        <v xml:space="preserve">撥款                     </v>
      </c>
      <c r="C150" s="313">
        <v>1</v>
      </c>
      <c r="D150" s="74" t="s">
        <v>1603</v>
      </c>
      <c r="E150" s="71">
        <v>44404</v>
      </c>
      <c r="F150" s="73" t="s">
        <v>1604</v>
      </c>
      <c r="G150" s="73" t="s">
        <v>1604</v>
      </c>
      <c r="H150" s="73" t="s">
        <v>1604</v>
      </c>
      <c r="I150" s="70" t="s">
        <v>203</v>
      </c>
      <c r="N150" s="313" t="s">
        <v>1449</v>
      </c>
      <c r="P150" s="71" t="s">
        <v>1487</v>
      </c>
    </row>
    <row r="151" spans="1:16" hidden="1">
      <c r="A151" s="313" t="s">
        <v>1605</v>
      </c>
      <c r="B151" s="69" t="s">
        <v>1606</v>
      </c>
      <c r="C151" s="313">
        <v>1</v>
      </c>
      <c r="D151" s="74" t="s">
        <v>1607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239</v>
      </c>
      <c r="L151" s="313" t="s">
        <v>1449</v>
      </c>
      <c r="P151" s="71"/>
    </row>
    <row r="152" spans="1:16" ht="34.049999999999997" hidden="1" customHeight="1">
      <c r="A152" s="313" t="s">
        <v>250</v>
      </c>
      <c r="B152" s="69" t="str">
        <f>VLOOKUP(A152,URS確認!$E:$F,2,FALSE)</f>
        <v>未齊件代碼維護</v>
      </c>
      <c r="C152" s="313">
        <v>1</v>
      </c>
      <c r="D152" s="74" t="s">
        <v>1608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13" t="s">
        <v>1449</v>
      </c>
      <c r="P152" s="71"/>
    </row>
    <row r="153" spans="1:16" hidden="1">
      <c r="A153" s="313" t="s">
        <v>250</v>
      </c>
      <c r="B153" s="69" t="str">
        <f>VLOOKUP(A153,URS確認!$E:$F,2,FALSE)</f>
        <v>未齊件代碼維護</v>
      </c>
      <c r="C153" s="313">
        <v>2</v>
      </c>
      <c r="D153" s="74" t="s">
        <v>1609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13" t="s">
        <v>1449</v>
      </c>
      <c r="P153" s="71"/>
    </row>
    <row r="154" spans="1:16" ht="66" hidden="1" customHeight="1">
      <c r="A154" s="313" t="s">
        <v>250</v>
      </c>
      <c r="B154" s="69" t="str">
        <f>VLOOKUP(A154,URS確認!$E:$F,2,FALSE)</f>
        <v>未齊件代碼維護</v>
      </c>
      <c r="C154" s="313">
        <v>3</v>
      </c>
      <c r="D154" s="74" t="s">
        <v>1610</v>
      </c>
      <c r="E154" s="71">
        <v>44404</v>
      </c>
      <c r="F154" s="71">
        <v>44439</v>
      </c>
      <c r="G154" s="313"/>
      <c r="I154" s="70" t="str">
        <f>VLOOKUP(A154,URS確認!E:I,5,FALSE)</f>
        <v>陳昱衡</v>
      </c>
      <c r="M154" s="313" t="s">
        <v>1465</v>
      </c>
      <c r="P154" s="71"/>
    </row>
    <row r="155" spans="1:16" ht="49.5" hidden="1" customHeight="1">
      <c r="A155" s="313" t="s">
        <v>252</v>
      </c>
      <c r="B155" s="69" t="str">
        <f>VLOOKUP(A155,URS確認!$E:$F,2,FALSE)</f>
        <v xml:space="preserve">未齊件資料查詢                          </v>
      </c>
      <c r="C155" s="313">
        <v>1</v>
      </c>
      <c r="D155" s="126" t="s">
        <v>1611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13" t="s">
        <v>1449</v>
      </c>
      <c r="P155" s="71"/>
    </row>
    <row r="156" spans="1:16" ht="82.5" hidden="1" customHeight="1">
      <c r="A156" s="313" t="s">
        <v>252</v>
      </c>
      <c r="B156" s="69" t="str">
        <f>VLOOKUP(A156,URS確認!$E:$F,2,FALSE)</f>
        <v xml:space="preserve">未齊件資料查詢                          </v>
      </c>
      <c r="C156" s="313">
        <v>2</v>
      </c>
      <c r="D156" s="74" t="s">
        <v>1612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3" t="s">
        <v>1449</v>
      </c>
      <c r="P156" s="71"/>
    </row>
    <row r="157" spans="1:16" hidden="1">
      <c r="A157" s="313" t="s">
        <v>255</v>
      </c>
      <c r="B157" s="69" t="str">
        <f>VLOOKUP(A157,URS確認!$E:$F,2,FALSE)</f>
        <v xml:space="preserve">未齊案件管理             </v>
      </c>
      <c r="C157" s="313">
        <v>2</v>
      </c>
      <c r="D157" s="74" t="s">
        <v>1613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13" t="s">
        <v>1449</v>
      </c>
      <c r="P157" s="71"/>
    </row>
    <row r="158" spans="1:16" hidden="1">
      <c r="A158" s="313" t="s">
        <v>255</v>
      </c>
      <c r="B158" s="69" t="str">
        <f>VLOOKUP(A158,URS確認!$E:$F,2,FALSE)</f>
        <v xml:space="preserve">未齊案件管理             </v>
      </c>
      <c r="C158" s="313">
        <v>3</v>
      </c>
      <c r="D158" s="74" t="s">
        <v>1614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3" t="s">
        <v>1449</v>
      </c>
      <c r="P158" s="71"/>
    </row>
    <row r="159" spans="1:16" hidden="1">
      <c r="A159" s="313" t="s">
        <v>255</v>
      </c>
      <c r="B159" s="69" t="str">
        <f>VLOOKUP(A159,URS確認!$E:$F,2,FALSE)</f>
        <v xml:space="preserve">未齊案件管理             </v>
      </c>
      <c r="C159" s="313">
        <v>6</v>
      </c>
      <c r="D159" s="74" t="s">
        <v>1615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3" t="s">
        <v>1449</v>
      </c>
      <c r="P159" s="71"/>
    </row>
    <row r="160" spans="1:16" ht="49.5" hidden="1" customHeight="1">
      <c r="A160" s="313" t="s">
        <v>255</v>
      </c>
      <c r="B160" s="69" t="str">
        <f>VLOOKUP(A160,URS確認!$E:$F,2,FALSE)</f>
        <v xml:space="preserve">未齊案件管理             </v>
      </c>
      <c r="C160" s="313">
        <v>7</v>
      </c>
      <c r="D160" s="74" t="s">
        <v>1616</v>
      </c>
      <c r="E160" s="71">
        <v>44405</v>
      </c>
      <c r="F160" s="71">
        <v>44469</v>
      </c>
      <c r="G160" s="71">
        <v>44469</v>
      </c>
      <c r="I160" s="70" t="s">
        <v>147</v>
      </c>
      <c r="M160" s="313" t="s">
        <v>1465</v>
      </c>
      <c r="P160" s="71" t="s">
        <v>1563</v>
      </c>
    </row>
    <row r="161" spans="1:16" hidden="1">
      <c r="A161" s="313" t="s">
        <v>237</v>
      </c>
      <c r="B161" s="69" t="str">
        <f>VLOOKUP(A161,URS確認!$E:$F,2,FALSE)</f>
        <v xml:space="preserve">保證人明細資料查詢                      </v>
      </c>
      <c r="C161" s="313">
        <v>1</v>
      </c>
      <c r="D161" s="74" t="s">
        <v>1617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13" t="s">
        <v>1449</v>
      </c>
      <c r="P161" s="71"/>
    </row>
    <row r="162" spans="1:16" hidden="1">
      <c r="A162" s="313" t="s">
        <v>237</v>
      </c>
      <c r="B162" s="69" t="str">
        <f>VLOOKUP(A162,URS確認!$E:$F,2,FALSE)</f>
        <v xml:space="preserve">保證人明細資料查詢                      </v>
      </c>
      <c r="C162" s="313">
        <v>2</v>
      </c>
      <c r="D162" s="74" t="s">
        <v>1618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13" t="s">
        <v>1449</v>
      </c>
      <c r="P162" s="71"/>
    </row>
    <row r="163" spans="1:16" hidden="1">
      <c r="A163" s="313" t="s">
        <v>237</v>
      </c>
      <c r="B163" s="69" t="str">
        <f>VLOOKUP(A163,URS確認!$E:$F,2,FALSE)</f>
        <v xml:space="preserve">保證人明細資料查詢                      </v>
      </c>
      <c r="C163" s="313">
        <v>3</v>
      </c>
      <c r="D163" s="74" t="s">
        <v>1619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13" t="s">
        <v>1449</v>
      </c>
      <c r="P163" s="71" t="s">
        <v>1457</v>
      </c>
    </row>
    <row r="164" spans="1:16" hidden="1">
      <c r="A164" s="313" t="s">
        <v>242</v>
      </c>
      <c r="B164" s="69" t="str">
        <f>VLOOKUP(A164,URS確認!$E:$F,2,FALSE)</f>
        <v>保證人資料登錄</v>
      </c>
      <c r="C164" s="313">
        <v>1</v>
      </c>
      <c r="D164" s="74" t="s">
        <v>1620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13" t="s">
        <v>1449</v>
      </c>
      <c r="P164" s="71"/>
    </row>
    <row r="165" spans="1:16" hidden="1">
      <c r="A165" s="313" t="s">
        <v>242</v>
      </c>
      <c r="B165" s="69" t="str">
        <f>VLOOKUP(A165,URS確認!$E:$F,2,FALSE)</f>
        <v>保證人資料登錄</v>
      </c>
      <c r="C165" s="313">
        <v>2</v>
      </c>
      <c r="D165" s="74" t="s">
        <v>1621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3" t="s">
        <v>1449</v>
      </c>
      <c r="P165" s="71"/>
    </row>
    <row r="166" spans="1:16" ht="33" hidden="1" customHeight="1">
      <c r="A166" s="313" t="s">
        <v>242</v>
      </c>
      <c r="B166" s="69" t="str">
        <f>VLOOKUP(A166,URS確認!$E:$F,2,FALSE)</f>
        <v>保證人資料登錄</v>
      </c>
      <c r="C166" s="313">
        <v>3</v>
      </c>
      <c r="D166" s="74" t="s">
        <v>1622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13" t="s">
        <v>1449</v>
      </c>
      <c r="P166" s="71"/>
    </row>
    <row r="167" spans="1:16" ht="49.5" hidden="1" customHeight="1">
      <c r="A167" s="313" t="s">
        <v>242</v>
      </c>
      <c r="B167" s="69" t="str">
        <f>VLOOKUP(A167,URS確認!$E:$F,2,FALSE)</f>
        <v>保證人資料登錄</v>
      </c>
      <c r="C167" s="313">
        <v>4</v>
      </c>
      <c r="D167" s="74" t="s">
        <v>1623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147</v>
      </c>
      <c r="M167" s="313" t="s">
        <v>1465</v>
      </c>
      <c r="P167" s="71" t="s">
        <v>1570</v>
      </c>
    </row>
    <row r="168" spans="1:16" ht="66" hidden="1" customHeight="1">
      <c r="A168" s="313" t="s">
        <v>242</v>
      </c>
      <c r="B168" s="69" t="str">
        <f>VLOOKUP(A168,URS確認!$E:$F,2,FALSE)</f>
        <v>保證人資料登錄</v>
      </c>
      <c r="C168" s="313">
        <v>5</v>
      </c>
      <c r="D168" s="74" t="s">
        <v>1624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147</v>
      </c>
      <c r="M168" s="313" t="s">
        <v>1465</v>
      </c>
      <c r="P168" s="71" t="s">
        <v>1563</v>
      </c>
    </row>
    <row r="169" spans="1:16" ht="33" hidden="1" customHeight="1">
      <c r="A169" s="313" t="s">
        <v>242</v>
      </c>
      <c r="B169" s="69" t="str">
        <f>VLOOKUP(A169,URS確認!$E:$F,2,FALSE)</f>
        <v>保證人資料登錄</v>
      </c>
      <c r="C169" s="313">
        <v>6</v>
      </c>
      <c r="D169" s="74" t="s">
        <v>1625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13" t="s">
        <v>1465</v>
      </c>
      <c r="P169" s="71" t="s">
        <v>1563</v>
      </c>
    </row>
    <row r="170" spans="1:16" hidden="1">
      <c r="A170" s="313" t="s">
        <v>244</v>
      </c>
      <c r="B170" s="69" t="str">
        <f>VLOOKUP(A170,URS確認!$E:$F,2,FALSE)</f>
        <v xml:space="preserve">保證人保證資料查詢                      </v>
      </c>
      <c r="C170" s="313">
        <v>1</v>
      </c>
      <c r="D170" s="74" t="s">
        <v>1626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13" t="s">
        <v>1449</v>
      </c>
      <c r="P170" s="71"/>
    </row>
    <row r="171" spans="1:16" hidden="1">
      <c r="A171" s="313" t="s">
        <v>244</v>
      </c>
      <c r="B171" s="69" t="str">
        <f>VLOOKUP(A171,URS確認!$E:$F,2,FALSE)</f>
        <v xml:space="preserve">保證人保證資料查詢                      </v>
      </c>
      <c r="C171" s="313">
        <v>2</v>
      </c>
      <c r="D171" s="74" t="s">
        <v>1627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13" t="s">
        <v>1449</v>
      </c>
      <c r="P171" s="71"/>
    </row>
    <row r="172" spans="1:16" ht="115.5" hidden="1" customHeight="1">
      <c r="A172" s="313" t="s">
        <v>215</v>
      </c>
      <c r="B172" s="69" t="str">
        <f>VLOOKUP(A172,URS確認!$E:$F,2,FALSE)</f>
        <v>案件申請登錄</v>
      </c>
      <c r="C172" s="313">
        <v>1</v>
      </c>
      <c r="D172" s="74" t="s">
        <v>1628</v>
      </c>
      <c r="E172" s="71">
        <v>44431</v>
      </c>
      <c r="F172" s="71">
        <v>44469</v>
      </c>
      <c r="G172" s="71">
        <v>44469</v>
      </c>
      <c r="H172" s="71">
        <v>44469</v>
      </c>
      <c r="I172" s="313" t="s">
        <v>204</v>
      </c>
      <c r="M172" s="313" t="s">
        <v>1465</v>
      </c>
      <c r="P172" s="313" t="s">
        <v>1457</v>
      </c>
    </row>
    <row r="173" spans="1:16" ht="99" hidden="1" customHeight="1">
      <c r="A173" s="313" t="s">
        <v>215</v>
      </c>
      <c r="B173" s="69" t="str">
        <f>VLOOKUP(A173,URS確認!$E:$F,2,FALSE)</f>
        <v>案件申請登錄</v>
      </c>
      <c r="C173" s="313">
        <v>2</v>
      </c>
      <c r="D173" s="74" t="s">
        <v>1629</v>
      </c>
      <c r="E173" s="71">
        <v>44431</v>
      </c>
      <c r="F173" s="313"/>
      <c r="G173" s="313"/>
      <c r="I173" s="128" t="s">
        <v>1630</v>
      </c>
      <c r="O173" s="313" t="s">
        <v>1449</v>
      </c>
    </row>
    <row r="174" spans="1:16" ht="49.5" hidden="1" customHeight="1">
      <c r="A174" s="313" t="s">
        <v>215</v>
      </c>
      <c r="B174" s="69" t="str">
        <f>VLOOKUP(A174,URS確認!$E:$F,2,FALSE)</f>
        <v>案件申請登錄</v>
      </c>
      <c r="C174" s="313">
        <v>3</v>
      </c>
      <c r="D174" s="74" t="s">
        <v>1631</v>
      </c>
      <c r="E174" s="71">
        <v>44431</v>
      </c>
      <c r="F174" s="313"/>
      <c r="G174" s="313"/>
      <c r="I174" s="128" t="s">
        <v>1630</v>
      </c>
      <c r="O174" s="313" t="s">
        <v>1449</v>
      </c>
    </row>
    <row r="175" spans="1:16" ht="33" hidden="1" customHeight="1">
      <c r="A175" s="313" t="s">
        <v>272</v>
      </c>
      <c r="B175" s="69" t="str">
        <f>VLOOKUP(A175,URS確認!$E:$F,2,FALSE)</f>
        <v>交易關係人維護</v>
      </c>
      <c r="C175" s="313">
        <v>1</v>
      </c>
      <c r="D175" s="74" t="s">
        <v>1632</v>
      </c>
      <c r="E175" s="71">
        <v>44431</v>
      </c>
      <c r="F175" s="71">
        <v>44469</v>
      </c>
      <c r="G175" s="71">
        <v>44456</v>
      </c>
      <c r="H175" s="71">
        <v>44456</v>
      </c>
      <c r="I175" s="313" t="s">
        <v>147</v>
      </c>
      <c r="M175" s="313" t="s">
        <v>1465</v>
      </c>
    </row>
    <row r="176" spans="1:16" ht="49.5" hidden="1" customHeight="1">
      <c r="B176" s="74" t="s">
        <v>1633</v>
      </c>
      <c r="C176" s="313">
        <v>1</v>
      </c>
      <c r="D176" s="74" t="s">
        <v>1634</v>
      </c>
      <c r="E176" s="71">
        <v>44432</v>
      </c>
      <c r="F176" s="71">
        <v>44469</v>
      </c>
      <c r="G176" s="313"/>
      <c r="I176" s="313" t="s">
        <v>147</v>
      </c>
      <c r="M176" s="313" t="s">
        <v>1465</v>
      </c>
    </row>
    <row r="177" spans="1:13" ht="49.5" hidden="1" customHeight="1">
      <c r="B177" s="74" t="s">
        <v>1633</v>
      </c>
      <c r="C177" s="313">
        <v>2</v>
      </c>
      <c r="D177" s="74" t="s">
        <v>1635</v>
      </c>
      <c r="E177" s="71">
        <v>44432</v>
      </c>
      <c r="F177" s="71">
        <v>44469</v>
      </c>
      <c r="G177" s="313"/>
      <c r="I177" s="313" t="s">
        <v>147</v>
      </c>
      <c r="M177" s="313" t="s">
        <v>1465</v>
      </c>
    </row>
    <row r="178" spans="1:13" ht="49.5" hidden="1" customHeight="1">
      <c r="B178" s="74" t="s">
        <v>1633</v>
      </c>
      <c r="C178" s="313">
        <v>3</v>
      </c>
      <c r="D178" s="74" t="s">
        <v>1636</v>
      </c>
      <c r="E178" s="71">
        <v>44432</v>
      </c>
      <c r="F178" s="71">
        <v>44435</v>
      </c>
      <c r="G178" s="71">
        <v>44435</v>
      </c>
      <c r="H178" s="71">
        <v>44445</v>
      </c>
      <c r="I178" s="313" t="s">
        <v>147</v>
      </c>
      <c r="L178" s="313" t="s">
        <v>1449</v>
      </c>
    </row>
    <row r="179" spans="1:13" ht="49.5" hidden="1" customHeight="1">
      <c r="B179" s="74" t="s">
        <v>1633</v>
      </c>
      <c r="C179" s="313">
        <v>4</v>
      </c>
      <c r="D179" s="74" t="s">
        <v>1637</v>
      </c>
      <c r="E179" s="71">
        <v>44432</v>
      </c>
      <c r="F179" s="71">
        <v>44469</v>
      </c>
      <c r="G179" s="71">
        <v>44445</v>
      </c>
      <c r="H179" s="71">
        <v>44445</v>
      </c>
      <c r="I179" s="313" t="s">
        <v>147</v>
      </c>
      <c r="L179" s="313" t="s">
        <v>1449</v>
      </c>
    </row>
    <row r="180" spans="1:13" ht="49.5" hidden="1" customHeight="1">
      <c r="B180" s="74" t="s">
        <v>1633</v>
      </c>
      <c r="C180" s="313">
        <v>5</v>
      </c>
      <c r="D180" s="74" t="s">
        <v>1638</v>
      </c>
      <c r="E180" s="71">
        <v>44432</v>
      </c>
      <c r="F180" s="71">
        <v>44469</v>
      </c>
      <c r="G180" s="71">
        <v>44441</v>
      </c>
      <c r="H180" s="71">
        <v>44445</v>
      </c>
      <c r="I180" s="313" t="s">
        <v>239</v>
      </c>
      <c r="L180" s="313" t="s">
        <v>1449</v>
      </c>
    </row>
    <row r="181" spans="1:13" hidden="1">
      <c r="A181" s="313" t="s">
        <v>275</v>
      </c>
      <c r="B181" s="69" t="str">
        <f>VLOOKUP(A181,URS確認!$E:$F,2,FALSE)</f>
        <v xml:space="preserve">擔保品明細資料查詢                      </v>
      </c>
      <c r="C181" s="313">
        <v>1</v>
      </c>
      <c r="D181" s="69" t="s">
        <v>1639</v>
      </c>
      <c r="E181" s="71">
        <v>44432</v>
      </c>
      <c r="F181" s="71">
        <v>44435</v>
      </c>
      <c r="G181" s="71">
        <v>44434</v>
      </c>
      <c r="H181" s="71">
        <v>44434</v>
      </c>
      <c r="I181" s="313" t="s">
        <v>239</v>
      </c>
      <c r="L181" s="313" t="s">
        <v>1449</v>
      </c>
    </row>
    <row r="182" spans="1:13" ht="73.95" hidden="1" customHeight="1">
      <c r="A182" s="313" t="s">
        <v>277</v>
      </c>
      <c r="B182" s="69" t="str">
        <f>VLOOKUP(A182,URS確認!$E:$F,2,FALSE)</f>
        <v>不動產擔保品資料登錄</v>
      </c>
      <c r="C182" s="313">
        <v>1</v>
      </c>
      <c r="D182" s="74" t="s">
        <v>1640</v>
      </c>
      <c r="E182" s="71">
        <v>44432</v>
      </c>
      <c r="F182" s="71">
        <v>44469</v>
      </c>
      <c r="G182" s="71">
        <v>44446</v>
      </c>
      <c r="H182" s="71">
        <v>44447</v>
      </c>
      <c r="I182" s="134" t="s">
        <v>239</v>
      </c>
      <c r="M182" s="313" t="s">
        <v>1465</v>
      </c>
    </row>
    <row r="183" spans="1:13" hidden="1">
      <c r="A183" s="313" t="s">
        <v>277</v>
      </c>
      <c r="B183" s="69" t="str">
        <f>VLOOKUP(A183,URS確認!$E:$F,2,FALSE)</f>
        <v>不動產擔保品資料登錄</v>
      </c>
      <c r="C183" s="313">
        <v>3</v>
      </c>
      <c r="D183" s="74" t="s">
        <v>1641</v>
      </c>
      <c r="E183" s="71">
        <v>44432</v>
      </c>
      <c r="F183" s="71">
        <v>44435</v>
      </c>
      <c r="G183" s="71">
        <v>44434</v>
      </c>
      <c r="H183" s="71">
        <v>44445</v>
      </c>
      <c r="I183" s="313" t="s">
        <v>147</v>
      </c>
      <c r="L183" s="313" t="s">
        <v>1449</v>
      </c>
    </row>
    <row r="184" spans="1:13" ht="33" hidden="1" customHeight="1">
      <c r="A184" s="313" t="s">
        <v>277</v>
      </c>
      <c r="B184" s="69" t="str">
        <f>VLOOKUP(A184,URS確認!$E:$F,2,FALSE)</f>
        <v>不動產擔保品資料登錄</v>
      </c>
      <c r="C184" s="313">
        <v>4</v>
      </c>
      <c r="D184" s="74" t="s">
        <v>1642</v>
      </c>
      <c r="E184" s="71">
        <v>44432</v>
      </c>
      <c r="F184" s="71">
        <v>44435</v>
      </c>
      <c r="G184" s="71">
        <v>44434</v>
      </c>
      <c r="H184" s="71">
        <v>44445</v>
      </c>
      <c r="I184" s="313" t="s">
        <v>147</v>
      </c>
      <c r="L184" s="313" t="s">
        <v>1449</v>
      </c>
    </row>
    <row r="185" spans="1:13" hidden="1">
      <c r="A185" s="313" t="s">
        <v>285</v>
      </c>
      <c r="B185" s="69" t="str">
        <f>VLOOKUP(A185,URS確認!$E:$F,2,FALSE)</f>
        <v>不動產建物擔保品資料登錄</v>
      </c>
      <c r="C185" s="313">
        <v>1</v>
      </c>
      <c r="D185" s="74" t="s">
        <v>1643</v>
      </c>
      <c r="E185" s="71">
        <v>44432</v>
      </c>
      <c r="F185" s="71">
        <v>44442</v>
      </c>
      <c r="G185" s="71">
        <v>44441</v>
      </c>
      <c r="H185" s="71">
        <v>44445</v>
      </c>
      <c r="I185" s="313" t="s">
        <v>147</v>
      </c>
      <c r="L185" s="313" t="s">
        <v>1449</v>
      </c>
    </row>
    <row r="186" spans="1:13" hidden="1">
      <c r="A186" s="313" t="s">
        <v>285</v>
      </c>
      <c r="B186" s="69" t="str">
        <f>VLOOKUP(A186,URS確認!$E:$F,2,FALSE)</f>
        <v>不動產建物擔保品資料登錄</v>
      </c>
      <c r="C186" s="313">
        <v>2</v>
      </c>
      <c r="D186" s="74" t="s">
        <v>1644</v>
      </c>
      <c r="E186" s="71">
        <v>44432</v>
      </c>
      <c r="F186" s="71">
        <v>44442</v>
      </c>
      <c r="G186" s="71">
        <v>44441</v>
      </c>
      <c r="H186" s="71">
        <v>44445</v>
      </c>
      <c r="I186" s="313" t="s">
        <v>147</v>
      </c>
      <c r="L186" s="313" t="s">
        <v>1449</v>
      </c>
    </row>
    <row r="187" spans="1:13" ht="33" hidden="1" customHeight="1">
      <c r="A187" s="313" t="s">
        <v>282</v>
      </c>
      <c r="B187" s="69" t="str">
        <f>VLOOKUP(A187,URS確認!$E:$F,2,FALSE)</f>
        <v xml:space="preserve">不動產擔保品資料查詢                    </v>
      </c>
      <c r="C187" s="313">
        <v>1</v>
      </c>
      <c r="D187" s="74" t="s">
        <v>1645</v>
      </c>
      <c r="E187" s="71">
        <v>44432</v>
      </c>
      <c r="F187" s="71">
        <v>44435</v>
      </c>
      <c r="G187" s="71">
        <v>44434</v>
      </c>
      <c r="H187" s="71">
        <v>44445</v>
      </c>
      <c r="I187" s="313" t="s">
        <v>147</v>
      </c>
      <c r="L187" s="313" t="s">
        <v>1449</v>
      </c>
    </row>
    <row r="188" spans="1:13" hidden="1">
      <c r="A188" s="313" t="s">
        <v>1400</v>
      </c>
      <c r="B188" s="69" t="e">
        <f>VLOOKUP(A188,URS確認!$E:$F,2,FALSE)</f>
        <v>#N/A</v>
      </c>
      <c r="C188" s="313">
        <v>1</v>
      </c>
      <c r="D188" s="74" t="s">
        <v>1646</v>
      </c>
      <c r="E188" s="71">
        <v>44432</v>
      </c>
      <c r="F188" s="71">
        <v>44435</v>
      </c>
      <c r="G188" s="71">
        <v>44434</v>
      </c>
      <c r="H188" s="71">
        <v>44445</v>
      </c>
      <c r="I188" s="313" t="s">
        <v>147</v>
      </c>
      <c r="L188" s="313" t="s">
        <v>1449</v>
      </c>
    </row>
    <row r="189" spans="1:13" hidden="1">
      <c r="A189" s="313" t="s">
        <v>1403</v>
      </c>
      <c r="B189" s="69" t="e">
        <f>VLOOKUP(A189,URS確認!$E:$F,2,FALSE)</f>
        <v>#N/A</v>
      </c>
      <c r="C189" s="313">
        <v>1</v>
      </c>
      <c r="D189" s="74" t="s">
        <v>1647</v>
      </c>
      <c r="E189" s="71">
        <v>44432</v>
      </c>
      <c r="F189" s="71">
        <v>44435</v>
      </c>
      <c r="G189" s="71">
        <v>44434</v>
      </c>
      <c r="H189" s="71">
        <v>44445</v>
      </c>
      <c r="I189" s="313" t="s">
        <v>147</v>
      </c>
      <c r="L189" s="313" t="s">
        <v>1449</v>
      </c>
    </row>
    <row r="190" spans="1:13" ht="33" hidden="1" customHeight="1">
      <c r="A190" s="313" t="s">
        <v>272</v>
      </c>
      <c r="B190" s="69" t="str">
        <f>VLOOKUP(A190,URS確認!$E:$F,2,FALSE)</f>
        <v>交易關係人維護</v>
      </c>
      <c r="C190" s="313">
        <v>1</v>
      </c>
      <c r="D190" s="74" t="s">
        <v>1648</v>
      </c>
      <c r="E190" s="71">
        <v>44432</v>
      </c>
      <c r="F190" s="71">
        <v>44442</v>
      </c>
      <c r="G190" s="71">
        <v>44440</v>
      </c>
      <c r="H190" s="71">
        <v>44461</v>
      </c>
      <c r="I190" s="313" t="s">
        <v>147</v>
      </c>
      <c r="M190" s="313" t="s">
        <v>1465</v>
      </c>
    </row>
    <row r="191" spans="1:13" ht="15.6" hidden="1" customHeight="1">
      <c r="A191" s="313" t="s">
        <v>303</v>
      </c>
      <c r="B191" s="69" t="str">
        <f>VLOOKUP(A191,URS確認!$E:$F,2,FALSE)</f>
        <v>動產擔保品資料登錄</v>
      </c>
      <c r="C191" s="313">
        <v>1</v>
      </c>
      <c r="D191" s="74" t="s">
        <v>1649</v>
      </c>
      <c r="E191" s="71">
        <v>44433</v>
      </c>
      <c r="F191" s="71">
        <v>44435</v>
      </c>
      <c r="G191" s="71">
        <v>44435</v>
      </c>
      <c r="H191" s="71">
        <v>44445</v>
      </c>
      <c r="I191" s="313" t="s">
        <v>147</v>
      </c>
      <c r="L191" s="313" t="s">
        <v>1449</v>
      </c>
    </row>
    <row r="192" spans="1:13" hidden="1">
      <c r="A192" s="313" t="s">
        <v>303</v>
      </c>
      <c r="B192" s="69" t="str">
        <f>VLOOKUP(A192,URS確認!$E:$F,2,FALSE)</f>
        <v>動產擔保品資料登錄</v>
      </c>
      <c r="C192" s="313">
        <v>2</v>
      </c>
      <c r="D192" s="74" t="s">
        <v>1650</v>
      </c>
      <c r="E192" s="71">
        <v>44433</v>
      </c>
      <c r="F192" s="71">
        <v>44469</v>
      </c>
      <c r="G192" s="71">
        <v>44445</v>
      </c>
      <c r="H192" s="71">
        <v>44445</v>
      </c>
      <c r="I192" s="313" t="s">
        <v>147</v>
      </c>
      <c r="L192" s="313" t="s">
        <v>1449</v>
      </c>
    </row>
    <row r="193" spans="1:13" ht="33" hidden="1" customHeight="1">
      <c r="A193" s="313" t="s">
        <v>303</v>
      </c>
      <c r="B193" s="69" t="str">
        <f>VLOOKUP(A193,URS確認!$E:$F,2,FALSE)</f>
        <v>動產擔保品資料登錄</v>
      </c>
      <c r="C193" s="313">
        <v>3</v>
      </c>
      <c r="D193" s="74" t="s">
        <v>1651</v>
      </c>
      <c r="E193" s="71">
        <v>44433</v>
      </c>
      <c r="F193" s="71">
        <v>44469</v>
      </c>
      <c r="G193" s="71">
        <v>44441</v>
      </c>
      <c r="H193" s="71">
        <v>44445</v>
      </c>
      <c r="I193" s="313" t="s">
        <v>147</v>
      </c>
      <c r="L193" s="313" t="s">
        <v>1449</v>
      </c>
    </row>
    <row r="194" spans="1:13" ht="66" hidden="1" customHeight="1">
      <c r="A194" s="313" t="s">
        <v>1408</v>
      </c>
      <c r="B194" s="69" t="e">
        <f>VLOOKUP(A194,URS確認!$E:$F,2,FALSE)</f>
        <v>#N/A</v>
      </c>
      <c r="C194" s="313">
        <v>1</v>
      </c>
      <c r="D194" s="74" t="s">
        <v>1652</v>
      </c>
      <c r="E194" s="71">
        <v>44433</v>
      </c>
      <c r="F194" s="71">
        <v>44469</v>
      </c>
      <c r="G194" s="71">
        <v>44448</v>
      </c>
      <c r="H194" s="71">
        <v>44448</v>
      </c>
      <c r="I194" s="134" t="s">
        <v>239</v>
      </c>
      <c r="L194" s="313" t="s">
        <v>1519</v>
      </c>
      <c r="M194" s="313" t="s">
        <v>1465</v>
      </c>
    </row>
    <row r="195" spans="1:13" ht="66" hidden="1" customHeight="1">
      <c r="A195" s="313" t="s">
        <v>1411</v>
      </c>
      <c r="B195" s="69" t="e">
        <f>VLOOKUP(A195,URS確認!$E:$F,2,FALSE)</f>
        <v>#N/A</v>
      </c>
      <c r="C195" s="313">
        <v>1</v>
      </c>
      <c r="D195" s="74" t="s">
        <v>1653</v>
      </c>
      <c r="E195" s="71">
        <v>44433</v>
      </c>
      <c r="F195" s="71">
        <v>44469</v>
      </c>
      <c r="G195" s="71">
        <v>44448</v>
      </c>
      <c r="H195" s="71">
        <v>44448</v>
      </c>
      <c r="I195" s="134" t="s">
        <v>239</v>
      </c>
      <c r="M195" s="313" t="s">
        <v>1465</v>
      </c>
    </row>
    <row r="196" spans="1:13" ht="66" hidden="1" customHeight="1">
      <c r="A196" s="313" t="s">
        <v>1413</v>
      </c>
      <c r="B196" s="69" t="e">
        <f>VLOOKUP(A196,URS確認!$E:$F,2,FALSE)</f>
        <v>#N/A</v>
      </c>
      <c r="C196" s="313">
        <v>1</v>
      </c>
      <c r="D196" s="74" t="s">
        <v>1653</v>
      </c>
      <c r="E196" s="71">
        <v>44433</v>
      </c>
      <c r="F196" s="71">
        <v>44469</v>
      </c>
      <c r="G196" s="71">
        <v>44448</v>
      </c>
      <c r="H196" s="71">
        <v>44448</v>
      </c>
      <c r="I196" s="134" t="s">
        <v>239</v>
      </c>
      <c r="M196" s="313" t="s">
        <v>1465</v>
      </c>
    </row>
    <row r="197" spans="1:13" ht="66" hidden="1" customHeight="1">
      <c r="A197" s="313" t="s">
        <v>1405</v>
      </c>
      <c r="B197" s="69" t="e">
        <f>VLOOKUP(A197,URS確認!$E:$F,2,FALSE)</f>
        <v>#N/A</v>
      </c>
      <c r="C197" s="313">
        <v>1</v>
      </c>
      <c r="D197" s="74" t="s">
        <v>1654</v>
      </c>
      <c r="E197" s="71">
        <v>44433</v>
      </c>
      <c r="F197" s="71">
        <v>44469</v>
      </c>
      <c r="G197" s="71">
        <v>44448</v>
      </c>
      <c r="H197" s="71">
        <v>44448</v>
      </c>
      <c r="I197" s="134" t="s">
        <v>239</v>
      </c>
      <c r="M197" s="313" t="s">
        <v>1465</v>
      </c>
    </row>
    <row r="198" spans="1:13" hidden="1">
      <c r="A198" s="313" t="s">
        <v>275</v>
      </c>
      <c r="B198" s="69" t="str">
        <f>VLOOKUP(A198,URS確認!$E:$F,2,FALSE)</f>
        <v xml:space="preserve">擔保品明細資料查詢                      </v>
      </c>
      <c r="C198" s="313">
        <v>1</v>
      </c>
      <c r="D198" s="74" t="s">
        <v>1655</v>
      </c>
      <c r="E198" s="71">
        <v>44433</v>
      </c>
      <c r="F198" s="71">
        <v>44435</v>
      </c>
      <c r="G198" s="71">
        <v>44435</v>
      </c>
      <c r="H198" s="71">
        <v>44435</v>
      </c>
      <c r="I198" s="313" t="s">
        <v>239</v>
      </c>
      <c r="L198" s="313" t="s">
        <v>1449</v>
      </c>
    </row>
    <row r="199" spans="1:13" hidden="1">
      <c r="A199" s="313" t="s">
        <v>275</v>
      </c>
      <c r="B199" s="69" t="str">
        <f>VLOOKUP(A199,URS確認!$E:$F,2,FALSE)</f>
        <v xml:space="preserve">擔保品明細資料查詢                      </v>
      </c>
      <c r="C199" s="313">
        <v>2</v>
      </c>
      <c r="D199" s="74" t="s">
        <v>1656</v>
      </c>
      <c r="E199" s="71">
        <v>44433</v>
      </c>
      <c r="F199" s="71">
        <v>44435</v>
      </c>
      <c r="G199" s="71">
        <v>44435</v>
      </c>
      <c r="H199" s="71">
        <v>44442</v>
      </c>
      <c r="I199" s="313" t="s">
        <v>239</v>
      </c>
      <c r="L199" s="313" t="s">
        <v>1449</v>
      </c>
    </row>
    <row r="200" spans="1:13" hidden="1">
      <c r="A200" s="313" t="s">
        <v>275</v>
      </c>
      <c r="B200" s="69" t="str">
        <f>VLOOKUP(A200,URS確認!$E:$F,2,FALSE)</f>
        <v xml:space="preserve">擔保品明細資料查詢                      </v>
      </c>
      <c r="C200" s="313">
        <v>3</v>
      </c>
      <c r="D200" s="74" t="s">
        <v>1657</v>
      </c>
      <c r="E200" s="71">
        <v>44433</v>
      </c>
      <c r="F200" s="71">
        <v>44435</v>
      </c>
      <c r="G200" s="71">
        <v>44435</v>
      </c>
      <c r="H200" s="71">
        <v>44435</v>
      </c>
      <c r="I200" s="313" t="s">
        <v>239</v>
      </c>
      <c r="L200" s="313" t="s">
        <v>1449</v>
      </c>
    </row>
    <row r="201" spans="1:13" hidden="1">
      <c r="A201" s="313" t="s">
        <v>275</v>
      </c>
      <c r="B201" s="69" t="str">
        <f>VLOOKUP(A201,URS確認!$E:$F,2,FALSE)</f>
        <v xml:space="preserve">擔保品明細資料查詢                      </v>
      </c>
      <c r="C201" s="313">
        <v>4</v>
      </c>
      <c r="D201" s="74" t="s">
        <v>1658</v>
      </c>
      <c r="E201" s="71">
        <v>44433</v>
      </c>
      <c r="F201" s="71">
        <v>44435</v>
      </c>
      <c r="G201" s="71">
        <v>44435</v>
      </c>
      <c r="H201" s="71">
        <v>44442</v>
      </c>
      <c r="I201" s="313" t="s">
        <v>239</v>
      </c>
      <c r="L201" s="313" t="s">
        <v>1449</v>
      </c>
    </row>
    <row r="202" spans="1:13" ht="79.2" hidden="1" customHeight="1">
      <c r="A202" s="313" t="s">
        <v>275</v>
      </c>
      <c r="B202" s="69" t="str">
        <f>VLOOKUP(A202,URS確認!$E:$F,2,FALSE)</f>
        <v xml:space="preserve">擔保品明細資料查詢                      </v>
      </c>
      <c r="C202" s="313">
        <v>5</v>
      </c>
      <c r="D202" s="74" t="s">
        <v>1659</v>
      </c>
      <c r="E202" s="71">
        <v>44433</v>
      </c>
      <c r="F202" s="71">
        <v>44435</v>
      </c>
      <c r="G202" s="71">
        <v>44435</v>
      </c>
      <c r="H202" s="71">
        <v>44442</v>
      </c>
      <c r="I202" s="313" t="s">
        <v>239</v>
      </c>
      <c r="L202" s="313" t="s">
        <v>1449</v>
      </c>
    </row>
    <row r="203" spans="1:13" ht="37.200000000000003" hidden="1" customHeight="1">
      <c r="B203" s="74" t="s">
        <v>1660</v>
      </c>
      <c r="C203" s="313">
        <v>1</v>
      </c>
      <c r="D203" s="74" t="s">
        <v>1661</v>
      </c>
      <c r="E203" s="71">
        <v>44433</v>
      </c>
      <c r="F203" s="71">
        <v>44435</v>
      </c>
      <c r="G203" s="71">
        <v>44435</v>
      </c>
      <c r="I203" s="313" t="s">
        <v>147</v>
      </c>
      <c r="L203" s="313" t="s">
        <v>1449</v>
      </c>
    </row>
    <row r="204" spans="1:13" hidden="1">
      <c r="A204" s="313" t="s">
        <v>285</v>
      </c>
      <c r="B204" s="69" t="str">
        <f>VLOOKUP(A204,URS確認!$E:$F,2,FALSE)</f>
        <v>不動產建物擔保品資料登錄</v>
      </c>
      <c r="C204" s="313">
        <v>1</v>
      </c>
      <c r="D204" s="74" t="s">
        <v>1662</v>
      </c>
      <c r="E204" s="71">
        <v>44433</v>
      </c>
      <c r="F204" s="71">
        <v>44461</v>
      </c>
      <c r="G204" s="71">
        <v>44462</v>
      </c>
      <c r="H204" s="71">
        <v>44462</v>
      </c>
      <c r="I204" s="313" t="s">
        <v>147</v>
      </c>
      <c r="M204" s="313" t="s">
        <v>1465</v>
      </c>
    </row>
    <row r="205" spans="1:13" hidden="1">
      <c r="A205" s="313" t="s">
        <v>307</v>
      </c>
      <c r="B205" s="69" t="str">
        <f>VLOOKUP(A205,URS確認!$E:$F,2,FALSE)</f>
        <v>股票擔保品資料登錄</v>
      </c>
      <c r="C205" s="313">
        <v>1</v>
      </c>
      <c r="D205" s="74" t="s">
        <v>1663</v>
      </c>
      <c r="E205" s="71">
        <v>44434</v>
      </c>
      <c r="F205" s="71">
        <v>44435</v>
      </c>
      <c r="G205" s="71">
        <v>44435</v>
      </c>
      <c r="H205" s="71">
        <v>44435</v>
      </c>
      <c r="I205" s="313" t="s">
        <v>147</v>
      </c>
      <c r="L205" s="313" t="s">
        <v>1449</v>
      </c>
    </row>
    <row r="206" spans="1:13" hidden="1">
      <c r="A206" s="313" t="s">
        <v>307</v>
      </c>
      <c r="B206" s="69" t="str">
        <f>VLOOKUP(A206,URS確認!$E:$F,2,FALSE)</f>
        <v>股票擔保品資料登錄</v>
      </c>
      <c r="C206" s="313">
        <v>2</v>
      </c>
      <c r="D206" s="74" t="s">
        <v>1664</v>
      </c>
      <c r="E206" s="71">
        <v>44434</v>
      </c>
      <c r="F206" s="71">
        <v>44435</v>
      </c>
      <c r="G206" s="71">
        <v>44435</v>
      </c>
      <c r="H206" s="71">
        <v>44445</v>
      </c>
      <c r="I206" s="313" t="s">
        <v>147</v>
      </c>
      <c r="L206" s="313" t="s">
        <v>1449</v>
      </c>
    </row>
    <row r="207" spans="1:13" ht="49.5" hidden="1" customHeight="1">
      <c r="A207" s="313" t="s">
        <v>307</v>
      </c>
      <c r="B207" s="69" t="str">
        <f>VLOOKUP(A207,URS確認!$E:$F,2,FALSE)</f>
        <v>股票擔保品資料登錄</v>
      </c>
      <c r="C207" s="313">
        <v>3</v>
      </c>
      <c r="D207" s="74" t="s">
        <v>1665</v>
      </c>
      <c r="E207" s="71">
        <v>44434</v>
      </c>
      <c r="F207" s="71">
        <v>44435</v>
      </c>
      <c r="G207" s="71">
        <v>44435</v>
      </c>
      <c r="H207" s="71">
        <v>44435</v>
      </c>
      <c r="I207" s="313" t="s">
        <v>147</v>
      </c>
      <c r="J207" s="313" t="s">
        <v>1449</v>
      </c>
    </row>
    <row r="208" spans="1:13" ht="66" hidden="1" customHeight="1">
      <c r="A208" s="313" t="s">
        <v>307</v>
      </c>
      <c r="B208" s="69" t="str">
        <f>VLOOKUP(A208,URS確認!$E:$F,2,FALSE)</f>
        <v>股票擔保品資料登錄</v>
      </c>
      <c r="C208" s="313">
        <v>4</v>
      </c>
      <c r="D208" s="74" t="s">
        <v>1666</v>
      </c>
      <c r="E208" s="71">
        <v>44434</v>
      </c>
      <c r="F208" s="71">
        <v>44469</v>
      </c>
      <c r="G208" s="71">
        <v>44469</v>
      </c>
      <c r="H208" s="71">
        <v>44511</v>
      </c>
      <c r="I208" s="313" t="s">
        <v>147</v>
      </c>
      <c r="M208" s="313" t="s">
        <v>1465</v>
      </c>
    </row>
    <row r="209" spans="1:13" ht="33" hidden="1" customHeight="1">
      <c r="A209" s="313" t="s">
        <v>307</v>
      </c>
      <c r="B209" s="69" t="str">
        <f>VLOOKUP(A209,URS確認!$E:$F,2,FALSE)</f>
        <v>股票擔保品資料登錄</v>
      </c>
      <c r="C209" s="313">
        <v>5</v>
      </c>
      <c r="D209" s="74" t="s">
        <v>1667</v>
      </c>
      <c r="E209" s="71">
        <v>44434</v>
      </c>
      <c r="F209" s="71">
        <v>44438</v>
      </c>
      <c r="G209" s="71">
        <v>44438</v>
      </c>
      <c r="H209" s="71">
        <v>44438</v>
      </c>
      <c r="I209" s="313" t="s">
        <v>147</v>
      </c>
      <c r="L209" s="313" t="s">
        <v>1449</v>
      </c>
    </row>
    <row r="210" spans="1:13" ht="33" hidden="1" customHeight="1">
      <c r="A210" s="313" t="s">
        <v>310</v>
      </c>
      <c r="B210" s="69" t="str">
        <f>VLOOKUP(A210,URS確認!$E:$F,2,FALSE)</f>
        <v xml:space="preserve">股票擔保品資料查詢                      </v>
      </c>
      <c r="C210" s="313">
        <v>1</v>
      </c>
      <c r="D210" s="74" t="s">
        <v>1668</v>
      </c>
      <c r="E210" s="71">
        <v>44434</v>
      </c>
      <c r="F210" s="71">
        <v>44442</v>
      </c>
      <c r="G210" s="71">
        <v>44441</v>
      </c>
      <c r="H210" s="71">
        <v>44441</v>
      </c>
      <c r="I210" s="313" t="s">
        <v>239</v>
      </c>
      <c r="L210" s="313" t="s">
        <v>1449</v>
      </c>
    </row>
    <row r="211" spans="1:13" hidden="1">
      <c r="A211" s="313" t="s">
        <v>312</v>
      </c>
      <c r="B211" s="69" t="str">
        <f>VLOOKUP(A211,URS確認!$E:$F,2,FALSE)</f>
        <v>其他擔保品資料登錄</v>
      </c>
      <c r="C211" s="313">
        <v>1</v>
      </c>
      <c r="D211" s="74" t="s">
        <v>1669</v>
      </c>
      <c r="E211" s="71">
        <v>44434</v>
      </c>
      <c r="F211" s="71">
        <v>44434</v>
      </c>
      <c r="G211" s="71">
        <v>44434</v>
      </c>
      <c r="H211" s="71">
        <v>44445</v>
      </c>
      <c r="I211" s="313" t="s">
        <v>147</v>
      </c>
      <c r="L211" s="313" t="s">
        <v>1449</v>
      </c>
    </row>
    <row r="212" spans="1:13" ht="33" hidden="1" customHeight="1">
      <c r="A212" s="313" t="s">
        <v>317</v>
      </c>
      <c r="B212" s="69" t="str">
        <f>VLOOKUP(A212,URS確認!$E:$F,2,FALSE)</f>
        <v xml:space="preserve">顧客控管警訊資料維護                    </v>
      </c>
      <c r="C212" s="313">
        <v>1</v>
      </c>
      <c r="D212" s="74" t="s">
        <v>1670</v>
      </c>
      <c r="E212" s="71">
        <v>44434</v>
      </c>
      <c r="F212" s="71">
        <v>44469</v>
      </c>
      <c r="G212" s="313"/>
      <c r="I212" s="313" t="s">
        <v>147</v>
      </c>
      <c r="M212" s="313" t="s">
        <v>1465</v>
      </c>
    </row>
    <row r="213" spans="1:13" ht="33" hidden="1" customHeight="1">
      <c r="A213" s="313" t="s">
        <v>317</v>
      </c>
      <c r="B213" s="69" t="str">
        <f>VLOOKUP(A213,URS確認!$E:$F,2,FALSE)</f>
        <v xml:space="preserve">顧客控管警訊資料維護                    </v>
      </c>
      <c r="C213" s="313">
        <v>2</v>
      </c>
      <c r="D213" s="74" t="s">
        <v>1671</v>
      </c>
      <c r="E213" s="71">
        <v>44434</v>
      </c>
      <c r="F213" s="71">
        <v>44469</v>
      </c>
      <c r="G213" s="71">
        <v>44441</v>
      </c>
      <c r="H213" s="71">
        <v>44448</v>
      </c>
      <c r="I213" s="313" t="s">
        <v>239</v>
      </c>
      <c r="M213" s="313" t="s">
        <v>1465</v>
      </c>
    </row>
    <row r="214" spans="1:13" ht="33" customHeight="1">
      <c r="A214" s="313" t="s">
        <v>317</v>
      </c>
      <c r="B214" s="69" t="str">
        <f>VLOOKUP(A214,URS確認!$E:$F,2,FALSE)</f>
        <v xml:space="preserve">顧客控管警訊資料維護                    </v>
      </c>
      <c r="C214" s="313">
        <v>3</v>
      </c>
      <c r="D214" s="74" t="s">
        <v>1672</v>
      </c>
      <c r="E214" s="71">
        <v>44434</v>
      </c>
      <c r="F214" s="71">
        <v>44469</v>
      </c>
      <c r="G214" s="71">
        <v>44482</v>
      </c>
      <c r="H214" s="71">
        <v>44482</v>
      </c>
      <c r="I214" s="313" t="s">
        <v>330</v>
      </c>
      <c r="M214" s="313" t="s">
        <v>1465</v>
      </c>
    </row>
    <row r="215" spans="1:13" hidden="1">
      <c r="A215" s="313" t="s">
        <v>317</v>
      </c>
      <c r="B215" s="69" t="str">
        <f>VLOOKUP(A215,URS確認!$E:$F,2,FALSE)</f>
        <v xml:space="preserve">顧客控管警訊資料維護                    </v>
      </c>
      <c r="C215" s="313">
        <v>4</v>
      </c>
      <c r="D215" s="74" t="s">
        <v>1673</v>
      </c>
      <c r="E215" s="71">
        <v>44434</v>
      </c>
      <c r="F215" s="71">
        <v>44442</v>
      </c>
      <c r="G215" s="71">
        <v>44441</v>
      </c>
      <c r="H215" s="71">
        <v>44448</v>
      </c>
      <c r="I215" s="313" t="s">
        <v>239</v>
      </c>
      <c r="M215" s="313" t="s">
        <v>1465</v>
      </c>
    </row>
    <row r="216" spans="1:13" hidden="1">
      <c r="A216" s="313" t="s">
        <v>321</v>
      </c>
      <c r="B216" s="69" t="str">
        <f>VLOOKUP(A216,URS確認!$E:$F,2,FALSE)</f>
        <v xml:space="preserve">顧客控管警訊明細資料查詢                </v>
      </c>
      <c r="C216" s="313">
        <v>1</v>
      </c>
      <c r="D216" s="74" t="s">
        <v>1674</v>
      </c>
      <c r="E216" s="71">
        <v>44434</v>
      </c>
      <c r="F216" s="71">
        <v>44434</v>
      </c>
      <c r="G216" s="71">
        <v>44434</v>
      </c>
      <c r="H216" s="71">
        <v>44441</v>
      </c>
      <c r="I216" s="313" t="s">
        <v>147</v>
      </c>
      <c r="L216" s="313" t="s">
        <v>1449</v>
      </c>
    </row>
    <row r="217" spans="1:13" ht="82.5" hidden="1" customHeight="1">
      <c r="A217" s="313" t="s">
        <v>321</v>
      </c>
      <c r="B217" s="69" t="str">
        <f>VLOOKUP(A217,URS確認!$E:$F,2,FALSE)</f>
        <v xml:space="preserve">顧客控管警訊明細資料查詢                </v>
      </c>
      <c r="C217" s="313">
        <v>2</v>
      </c>
      <c r="D217" s="74" t="s">
        <v>1675</v>
      </c>
      <c r="E217" s="71">
        <v>44434</v>
      </c>
      <c r="F217" s="71">
        <v>44434</v>
      </c>
      <c r="G217" s="71">
        <v>44434</v>
      </c>
      <c r="H217" s="71">
        <v>44441</v>
      </c>
      <c r="I217" s="313" t="s">
        <v>147</v>
      </c>
      <c r="L217" s="313" t="s">
        <v>1449</v>
      </c>
    </row>
    <row r="218" spans="1:13" hidden="1">
      <c r="A218" s="313" t="s">
        <v>328</v>
      </c>
      <c r="B218" s="69" t="str">
        <f>VLOOKUP(A218,URS確認!$E:$F,2,FALSE)</f>
        <v>首次撥款審核資料表</v>
      </c>
      <c r="C218" s="313">
        <v>1</v>
      </c>
      <c r="D218" s="74" t="s">
        <v>1676</v>
      </c>
      <c r="E218" s="71">
        <v>44435</v>
      </c>
      <c r="F218" s="71">
        <v>44440</v>
      </c>
      <c r="G218" s="71">
        <v>44440</v>
      </c>
      <c r="I218" s="313" t="s">
        <v>1502</v>
      </c>
      <c r="L218" s="313" t="s">
        <v>1449</v>
      </c>
    </row>
    <row r="219" spans="1:13" hidden="1">
      <c r="A219" s="313" t="s">
        <v>328</v>
      </c>
      <c r="B219" s="69" t="str">
        <f>VLOOKUP(A219,URS確認!$E:$F,2,FALSE)</f>
        <v>首次撥款審核資料表</v>
      </c>
      <c r="C219" s="313">
        <v>2</v>
      </c>
      <c r="D219" s="74" t="s">
        <v>1677</v>
      </c>
      <c r="E219" s="71">
        <v>44435</v>
      </c>
      <c r="F219" s="71">
        <v>44440</v>
      </c>
      <c r="G219" s="71">
        <v>44440</v>
      </c>
      <c r="I219" s="313" t="s">
        <v>1502</v>
      </c>
      <c r="L219" s="313" t="s">
        <v>1449</v>
      </c>
    </row>
    <row r="220" spans="1:13" hidden="1">
      <c r="A220" s="313" t="s">
        <v>328</v>
      </c>
      <c r="B220" s="69" t="str">
        <f>VLOOKUP(A220,URS確認!$E:$F,2,FALSE)</f>
        <v>首次撥款審核資料表</v>
      </c>
      <c r="C220" s="313">
        <v>3</v>
      </c>
      <c r="D220" s="74" t="s">
        <v>1678</v>
      </c>
      <c r="E220" s="71">
        <v>44435</v>
      </c>
      <c r="F220" s="71">
        <v>44440</v>
      </c>
      <c r="G220" s="71">
        <v>44440</v>
      </c>
      <c r="I220" s="313" t="s">
        <v>1502</v>
      </c>
      <c r="L220" s="313" t="s">
        <v>1449</v>
      </c>
    </row>
    <row r="221" spans="1:13" hidden="1">
      <c r="A221" s="313" t="s">
        <v>328</v>
      </c>
      <c r="B221" s="69" t="str">
        <f>VLOOKUP(A221,URS確認!$E:$F,2,FALSE)</f>
        <v>首次撥款審核資料表</v>
      </c>
      <c r="C221" s="313">
        <v>4</v>
      </c>
      <c r="D221" s="74" t="s">
        <v>1679</v>
      </c>
      <c r="E221" s="71">
        <v>44435</v>
      </c>
      <c r="F221" s="71">
        <v>44440</v>
      </c>
      <c r="G221" s="71">
        <v>44440</v>
      </c>
      <c r="I221" s="313" t="s">
        <v>1502</v>
      </c>
      <c r="L221" s="313" t="s">
        <v>1449</v>
      </c>
    </row>
    <row r="222" spans="1:13" hidden="1">
      <c r="A222" s="313" t="s">
        <v>328</v>
      </c>
      <c r="B222" s="69" t="str">
        <f>VLOOKUP(A222,URS確認!$E:$F,2,FALSE)</f>
        <v>首次撥款審核資料表</v>
      </c>
      <c r="C222" s="313">
        <v>5</v>
      </c>
      <c r="D222" s="74" t="s">
        <v>1680</v>
      </c>
      <c r="E222" s="71">
        <v>44435</v>
      </c>
      <c r="F222" s="71">
        <v>44440</v>
      </c>
      <c r="G222" s="71">
        <v>44440</v>
      </c>
      <c r="I222" s="313" t="s">
        <v>1502</v>
      </c>
      <c r="L222" s="313" t="s">
        <v>1449</v>
      </c>
    </row>
    <row r="223" spans="1:13" hidden="1">
      <c r="A223" s="313" t="s">
        <v>328</v>
      </c>
      <c r="B223" s="69" t="str">
        <f>VLOOKUP(A223,URS確認!$E:$F,2,FALSE)</f>
        <v>首次撥款審核資料表</v>
      </c>
      <c r="C223" s="313">
        <v>6</v>
      </c>
      <c r="D223" s="74" t="s">
        <v>1681</v>
      </c>
      <c r="E223" s="71">
        <v>44435</v>
      </c>
      <c r="F223" s="71">
        <v>44440</v>
      </c>
      <c r="G223" s="71">
        <v>44440</v>
      </c>
      <c r="I223" s="313" t="s">
        <v>1502</v>
      </c>
      <c r="L223" s="313" t="s">
        <v>1449</v>
      </c>
    </row>
    <row r="224" spans="1:13" hidden="1">
      <c r="A224" s="313" t="s">
        <v>328</v>
      </c>
      <c r="B224" s="69" t="str">
        <f>VLOOKUP(A224,URS確認!$E:$F,2,FALSE)</f>
        <v>首次撥款審核資料表</v>
      </c>
      <c r="C224" s="313">
        <v>7</v>
      </c>
      <c r="D224" s="74" t="s">
        <v>1682</v>
      </c>
      <c r="E224" s="71">
        <v>44435</v>
      </c>
      <c r="F224" s="71">
        <v>44440</v>
      </c>
      <c r="G224" s="71">
        <v>44440</v>
      </c>
      <c r="I224" s="313" t="s">
        <v>1502</v>
      </c>
      <c r="L224" s="313" t="s">
        <v>1449</v>
      </c>
    </row>
    <row r="225" spans="1:12" hidden="1">
      <c r="A225" s="313" t="s">
        <v>328</v>
      </c>
      <c r="B225" s="69" t="str">
        <f>VLOOKUP(A225,URS確認!$E:$F,2,FALSE)</f>
        <v>首次撥款審核資料表</v>
      </c>
      <c r="C225" s="313">
        <v>8</v>
      </c>
      <c r="D225" s="74" t="s">
        <v>1683</v>
      </c>
      <c r="E225" s="71">
        <v>44435</v>
      </c>
      <c r="F225" s="71">
        <v>44440</v>
      </c>
      <c r="G225" s="71">
        <v>44440</v>
      </c>
      <c r="I225" s="313" t="s">
        <v>1502</v>
      </c>
      <c r="L225" s="313" t="s">
        <v>1449</v>
      </c>
    </row>
    <row r="226" spans="1:12" hidden="1">
      <c r="A226" s="313" t="s">
        <v>328</v>
      </c>
      <c r="B226" s="69" t="str">
        <f>VLOOKUP(A226,URS確認!$E:$F,2,FALSE)</f>
        <v>首次撥款審核資料表</v>
      </c>
      <c r="C226" s="313">
        <v>9</v>
      </c>
      <c r="D226" s="74" t="s">
        <v>1684</v>
      </c>
      <c r="E226" s="71">
        <v>44435</v>
      </c>
      <c r="F226" s="71">
        <v>44440</v>
      </c>
      <c r="G226" s="71">
        <v>44440</v>
      </c>
      <c r="I226" s="313" t="s">
        <v>1502</v>
      </c>
      <c r="L226" s="313" t="s">
        <v>1449</v>
      </c>
    </row>
    <row r="227" spans="1:12" hidden="1">
      <c r="A227" s="313" t="s">
        <v>328</v>
      </c>
      <c r="B227" s="69" t="str">
        <f>VLOOKUP(A227,URS確認!$E:$F,2,FALSE)</f>
        <v>首次撥款審核資料表</v>
      </c>
      <c r="C227" s="313">
        <v>10</v>
      </c>
      <c r="D227" s="74" t="s">
        <v>1685</v>
      </c>
      <c r="E227" s="71">
        <v>44435</v>
      </c>
      <c r="F227" s="71">
        <v>44440</v>
      </c>
      <c r="G227" s="71">
        <v>44440</v>
      </c>
      <c r="I227" s="313" t="s">
        <v>1502</v>
      </c>
      <c r="L227" s="313" t="s">
        <v>1449</v>
      </c>
    </row>
    <row r="228" spans="1:12" hidden="1">
      <c r="A228" s="313" t="s">
        <v>328</v>
      </c>
      <c r="B228" s="69" t="str">
        <f>VLOOKUP(A228,URS確認!$E:$F,2,FALSE)</f>
        <v>首次撥款審核資料表</v>
      </c>
      <c r="C228" s="313">
        <v>11</v>
      </c>
      <c r="D228" s="74" t="s">
        <v>1686</v>
      </c>
      <c r="E228" s="71">
        <v>44435</v>
      </c>
      <c r="F228" s="71">
        <v>44440</v>
      </c>
      <c r="G228" s="71">
        <v>44440</v>
      </c>
      <c r="I228" s="313" t="s">
        <v>1502</v>
      </c>
      <c r="L228" s="313" t="s">
        <v>1449</v>
      </c>
    </row>
    <row r="229" spans="1:12" hidden="1">
      <c r="A229" s="313" t="s">
        <v>328</v>
      </c>
      <c r="B229" s="69" t="str">
        <f>VLOOKUP(A229,URS確認!$E:$F,2,FALSE)</f>
        <v>首次撥款審核資料表</v>
      </c>
      <c r="C229" s="313">
        <v>12</v>
      </c>
      <c r="D229" s="74" t="s">
        <v>1687</v>
      </c>
      <c r="E229" s="71">
        <v>44435</v>
      </c>
      <c r="F229" s="71">
        <v>44440</v>
      </c>
      <c r="G229" s="71">
        <v>44440</v>
      </c>
      <c r="I229" s="313" t="s">
        <v>1502</v>
      </c>
      <c r="L229" s="313" t="s">
        <v>1449</v>
      </c>
    </row>
    <row r="230" spans="1:12" hidden="1">
      <c r="A230" s="313" t="s">
        <v>328</v>
      </c>
      <c r="B230" s="69" t="str">
        <f>VLOOKUP(A230,URS確認!$E:$F,2,FALSE)</f>
        <v>首次撥款審核資料表</v>
      </c>
      <c r="C230" s="313">
        <v>13</v>
      </c>
      <c r="D230" s="74" t="s">
        <v>1688</v>
      </c>
      <c r="E230" s="71">
        <v>44435</v>
      </c>
      <c r="F230" s="71">
        <v>44440</v>
      </c>
      <c r="G230" s="71">
        <v>44440</v>
      </c>
      <c r="I230" s="313" t="s">
        <v>1502</v>
      </c>
      <c r="L230" s="313" t="s">
        <v>1449</v>
      </c>
    </row>
    <row r="231" spans="1:12" hidden="1">
      <c r="A231" s="313" t="s">
        <v>328</v>
      </c>
      <c r="B231" s="69" t="str">
        <f>VLOOKUP(A231,URS確認!$E:$F,2,FALSE)</f>
        <v>首次撥款審核資料表</v>
      </c>
      <c r="C231" s="313">
        <v>14</v>
      </c>
      <c r="D231" s="74" t="s">
        <v>1689</v>
      </c>
      <c r="E231" s="71">
        <v>44435</v>
      </c>
      <c r="F231" s="71">
        <v>44440</v>
      </c>
      <c r="G231" s="71">
        <v>44440</v>
      </c>
      <c r="I231" s="313" t="s">
        <v>1502</v>
      </c>
      <c r="L231" s="313" t="s">
        <v>1449</v>
      </c>
    </row>
    <row r="232" spans="1:12" hidden="1">
      <c r="A232" s="313" t="s">
        <v>328</v>
      </c>
      <c r="B232" s="69" t="str">
        <f>VLOOKUP(A232,URS確認!$E:$F,2,FALSE)</f>
        <v>首次撥款審核資料表</v>
      </c>
      <c r="C232" s="313">
        <v>15</v>
      </c>
      <c r="D232" s="74" t="s">
        <v>1690</v>
      </c>
      <c r="E232" s="71">
        <v>44435</v>
      </c>
      <c r="F232" s="71">
        <v>44440</v>
      </c>
      <c r="G232" s="71">
        <v>44440</v>
      </c>
      <c r="I232" s="313" t="s">
        <v>1502</v>
      </c>
      <c r="L232" s="313" t="s">
        <v>1449</v>
      </c>
    </row>
    <row r="233" spans="1:12" ht="33" hidden="1" customHeight="1">
      <c r="A233" s="313" t="s">
        <v>328</v>
      </c>
      <c r="B233" s="69" t="str">
        <f>VLOOKUP(A233,URS確認!$E:$F,2,FALSE)</f>
        <v>首次撥款審核資料表</v>
      </c>
      <c r="C233" s="313">
        <v>16</v>
      </c>
      <c r="D233" s="74" t="s">
        <v>1691</v>
      </c>
      <c r="E233" s="71">
        <v>44435</v>
      </c>
      <c r="F233" s="71">
        <v>44440</v>
      </c>
      <c r="G233" s="71">
        <v>44440</v>
      </c>
      <c r="I233" s="313" t="s">
        <v>1502</v>
      </c>
      <c r="L233" s="313" t="s">
        <v>1449</v>
      </c>
    </row>
    <row r="234" spans="1:12" hidden="1">
      <c r="A234" s="313" t="s">
        <v>328</v>
      </c>
      <c r="B234" s="69" t="str">
        <f>VLOOKUP(A234,URS確認!$E:$F,2,FALSE)</f>
        <v>首次撥款審核資料表</v>
      </c>
      <c r="C234" s="313">
        <v>17</v>
      </c>
      <c r="D234" s="74" t="s">
        <v>1692</v>
      </c>
      <c r="E234" s="71">
        <v>44435</v>
      </c>
      <c r="F234" s="71">
        <v>44440</v>
      </c>
      <c r="G234" s="71">
        <v>44440</v>
      </c>
      <c r="I234" s="313" t="s">
        <v>1502</v>
      </c>
      <c r="L234" s="313" t="s">
        <v>1449</v>
      </c>
    </row>
    <row r="235" spans="1:12" hidden="1">
      <c r="A235" s="313" t="s">
        <v>328</v>
      </c>
      <c r="B235" s="69" t="str">
        <f>VLOOKUP(A235,URS確認!$E:$F,2,FALSE)</f>
        <v>首次撥款審核資料表</v>
      </c>
      <c r="C235" s="313">
        <v>18</v>
      </c>
      <c r="D235" s="74" t="s">
        <v>1693</v>
      </c>
      <c r="E235" s="71">
        <v>44435</v>
      </c>
      <c r="F235" s="71">
        <v>44440</v>
      </c>
      <c r="G235" s="71">
        <v>44440</v>
      </c>
      <c r="I235" s="313" t="s">
        <v>1502</v>
      </c>
      <c r="L235" s="313" t="s">
        <v>1449</v>
      </c>
    </row>
    <row r="236" spans="1:12" hidden="1">
      <c r="A236" s="313" t="s">
        <v>328</v>
      </c>
      <c r="B236" s="69" t="str">
        <f>VLOOKUP(A236,URS確認!$E:$F,2,FALSE)</f>
        <v>首次撥款審核資料表</v>
      </c>
      <c r="C236" s="313">
        <v>19</v>
      </c>
      <c r="D236" s="74" t="s">
        <v>1694</v>
      </c>
      <c r="E236" s="71">
        <v>44435</v>
      </c>
      <c r="F236" s="71">
        <v>44440</v>
      </c>
      <c r="G236" s="71">
        <v>44440</v>
      </c>
      <c r="I236" s="313" t="s">
        <v>1502</v>
      </c>
      <c r="L236" s="313" t="s">
        <v>1449</v>
      </c>
    </row>
    <row r="237" spans="1:12" ht="32.4" hidden="1">
      <c r="A237" s="313" t="s">
        <v>328</v>
      </c>
      <c r="B237" s="69" t="str">
        <f>VLOOKUP(A237,URS確認!$E:$F,2,FALSE)</f>
        <v>首次撥款審核資料表</v>
      </c>
      <c r="C237" s="313">
        <v>20</v>
      </c>
      <c r="D237" s="74" t="s">
        <v>1695</v>
      </c>
      <c r="E237" s="71">
        <v>44435</v>
      </c>
      <c r="F237" s="71">
        <v>44440</v>
      </c>
      <c r="G237" s="71">
        <v>44440</v>
      </c>
      <c r="I237" s="313" t="s">
        <v>1502</v>
      </c>
      <c r="J237" s="313" t="s">
        <v>1449</v>
      </c>
      <c r="L237" s="313" t="s">
        <v>1449</v>
      </c>
    </row>
    <row r="238" spans="1:12" ht="33" hidden="1" customHeight="1">
      <c r="A238" s="313" t="s">
        <v>342</v>
      </c>
      <c r="B238" s="69" t="str">
        <f>VLOOKUP(A238,URS確認!$E:$F,2,FALSE)</f>
        <v xml:space="preserve">撥款                     </v>
      </c>
      <c r="C238" s="313">
        <v>1</v>
      </c>
      <c r="D238" s="74" t="s">
        <v>1696</v>
      </c>
      <c r="E238" s="71">
        <v>44438</v>
      </c>
      <c r="F238" s="71">
        <v>44442</v>
      </c>
      <c r="G238" s="71">
        <v>44442</v>
      </c>
      <c r="H238" s="71">
        <v>44487</v>
      </c>
      <c r="I238" s="313" t="s">
        <v>204</v>
      </c>
      <c r="L238" s="313" t="s">
        <v>1449</v>
      </c>
    </row>
    <row r="239" spans="1:12" hidden="1">
      <c r="A239" s="313" t="s">
        <v>342</v>
      </c>
      <c r="B239" s="69" t="str">
        <f>VLOOKUP(A239,URS確認!$E:$F,2,FALSE)</f>
        <v xml:space="preserve">撥款                     </v>
      </c>
      <c r="C239" s="313">
        <v>2</v>
      </c>
      <c r="D239" s="74" t="s">
        <v>1697</v>
      </c>
      <c r="E239" s="71">
        <v>44438</v>
      </c>
      <c r="F239" s="71">
        <v>44442</v>
      </c>
      <c r="G239" s="71">
        <v>44442</v>
      </c>
      <c r="H239" s="71">
        <v>44487</v>
      </c>
      <c r="I239" s="313" t="s">
        <v>204</v>
      </c>
      <c r="L239" s="313" t="s">
        <v>1449</v>
      </c>
    </row>
    <row r="240" spans="1:12" hidden="1">
      <c r="A240" s="313" t="s">
        <v>342</v>
      </c>
      <c r="B240" s="69" t="str">
        <f>VLOOKUP(A240,URS確認!$E:$F,2,FALSE)</f>
        <v xml:space="preserve">撥款                     </v>
      </c>
      <c r="C240" s="313">
        <v>3</v>
      </c>
      <c r="D240" s="74" t="s">
        <v>1698</v>
      </c>
      <c r="E240" s="71">
        <v>44438</v>
      </c>
      <c r="F240" s="71">
        <v>44442</v>
      </c>
      <c r="G240" s="71">
        <v>44442</v>
      </c>
      <c r="H240" s="71">
        <v>44487</v>
      </c>
      <c r="I240" s="313" t="s">
        <v>204</v>
      </c>
      <c r="J240" s="313" t="s">
        <v>1449</v>
      </c>
    </row>
    <row r="241" spans="1:13" hidden="1">
      <c r="A241" s="313" t="s">
        <v>342</v>
      </c>
      <c r="B241" s="69" t="str">
        <f>VLOOKUP(A241,URS確認!$E:$F,2,FALSE)</f>
        <v xml:space="preserve">撥款                     </v>
      </c>
      <c r="C241" s="313">
        <v>4</v>
      </c>
      <c r="D241" s="74" t="s">
        <v>1699</v>
      </c>
      <c r="E241" s="71">
        <v>44438</v>
      </c>
      <c r="F241" s="71">
        <v>44442</v>
      </c>
      <c r="G241" s="71">
        <v>44442</v>
      </c>
      <c r="H241" s="71">
        <v>44487</v>
      </c>
      <c r="I241" s="313" t="s">
        <v>204</v>
      </c>
      <c r="L241" s="313" t="s">
        <v>1449</v>
      </c>
    </row>
    <row r="242" spans="1:13" hidden="1">
      <c r="A242" s="313" t="s">
        <v>346</v>
      </c>
      <c r="B242" s="69" t="str">
        <f>VLOOKUP(A242,URS確認!$E:$F,2,FALSE)</f>
        <v xml:space="preserve">撥款明細資料查詢         </v>
      </c>
      <c r="C242" s="313">
        <v>1</v>
      </c>
      <c r="D242" s="74" t="s">
        <v>1700</v>
      </c>
      <c r="E242" s="71">
        <v>44438</v>
      </c>
      <c r="F242" s="71">
        <v>44442</v>
      </c>
      <c r="G242" s="71">
        <v>44442</v>
      </c>
      <c r="H242" s="71">
        <v>44487</v>
      </c>
      <c r="I242" s="313" t="s">
        <v>204</v>
      </c>
      <c r="L242" s="313" t="s">
        <v>1449</v>
      </c>
    </row>
    <row r="243" spans="1:13" hidden="1">
      <c r="A243" s="313" t="s">
        <v>346</v>
      </c>
      <c r="B243" s="69" t="str">
        <f>VLOOKUP(A243,URS確認!$E:$F,2,FALSE)</f>
        <v xml:space="preserve">撥款明細資料查詢         </v>
      </c>
      <c r="C243" s="313">
        <v>2</v>
      </c>
      <c r="D243" s="74" t="s">
        <v>1701</v>
      </c>
      <c r="E243" s="71">
        <v>44438</v>
      </c>
      <c r="F243" s="71">
        <v>44442</v>
      </c>
      <c r="G243" s="71">
        <v>44442</v>
      </c>
      <c r="H243" s="71">
        <v>44487</v>
      </c>
      <c r="I243" s="313" t="s">
        <v>204</v>
      </c>
      <c r="L243" s="313" t="s">
        <v>1449</v>
      </c>
    </row>
    <row r="244" spans="1:13" hidden="1">
      <c r="A244" s="313" t="s">
        <v>349</v>
      </c>
      <c r="B244" s="69" t="str">
        <f>VLOOKUP(A244,URS確認!$E:$F,2,FALSE)</f>
        <v xml:space="preserve">撥款內容查詢             </v>
      </c>
      <c r="C244" s="313">
        <v>1</v>
      </c>
      <c r="D244" s="74" t="s">
        <v>1702</v>
      </c>
      <c r="E244" s="71">
        <v>44438</v>
      </c>
      <c r="F244" s="71">
        <v>44442</v>
      </c>
      <c r="G244" s="71">
        <v>44442</v>
      </c>
      <c r="H244" s="71">
        <v>44487</v>
      </c>
      <c r="I244" s="313" t="s">
        <v>204</v>
      </c>
      <c r="J244" s="313" t="s">
        <v>1449</v>
      </c>
    </row>
    <row r="245" spans="1:13" hidden="1">
      <c r="A245" s="313" t="s">
        <v>349</v>
      </c>
      <c r="B245" s="69" t="str">
        <f>VLOOKUP(A245,URS確認!$E:$F,2,FALSE)</f>
        <v xml:space="preserve">撥款內容查詢             </v>
      </c>
      <c r="C245" s="313">
        <v>2</v>
      </c>
      <c r="D245" s="74" t="s">
        <v>1703</v>
      </c>
      <c r="E245" s="71">
        <v>44438</v>
      </c>
      <c r="F245" s="71">
        <v>44442</v>
      </c>
      <c r="G245" s="71">
        <v>44442</v>
      </c>
      <c r="H245" s="71">
        <v>44487</v>
      </c>
      <c r="I245" s="313" t="s">
        <v>204</v>
      </c>
      <c r="J245" s="313" t="s">
        <v>1449</v>
      </c>
    </row>
    <row r="246" spans="1:13" hidden="1">
      <c r="A246" s="313" t="s">
        <v>375</v>
      </c>
      <c r="B246" s="69" t="str">
        <f>VLOOKUP(A246,URS確認!$E:$F,2,FALSE)</f>
        <v>撥款退款作業</v>
      </c>
      <c r="C246" s="313">
        <v>1</v>
      </c>
      <c r="D246" s="74" t="s">
        <v>1704</v>
      </c>
      <c r="E246" s="71">
        <v>44438</v>
      </c>
      <c r="F246" s="71">
        <v>44476</v>
      </c>
      <c r="G246" s="71">
        <v>44476</v>
      </c>
      <c r="I246" s="313" t="s">
        <v>204</v>
      </c>
      <c r="M246" s="313" t="s">
        <v>1465</v>
      </c>
    </row>
    <row r="247" spans="1:13" hidden="1">
      <c r="A247" s="313" t="s">
        <v>926</v>
      </c>
      <c r="B247" s="69" t="str">
        <f>VLOOKUP(A247,URS確認!$E:$F,2,FALSE)</f>
        <v>AML姓名檢核查詢</v>
      </c>
      <c r="C247" s="313">
        <v>1</v>
      </c>
      <c r="D247" s="74" t="s">
        <v>1705</v>
      </c>
      <c r="E247" s="71">
        <v>44438</v>
      </c>
      <c r="F247" s="71">
        <v>44447</v>
      </c>
      <c r="G247" s="71">
        <v>44462</v>
      </c>
      <c r="I247" s="313" t="s">
        <v>204</v>
      </c>
      <c r="L247" s="313" t="s">
        <v>1449</v>
      </c>
    </row>
    <row r="248" spans="1:13" ht="33" hidden="1" customHeight="1">
      <c r="A248" s="313" t="s">
        <v>336</v>
      </c>
      <c r="B248" s="69" t="str">
        <f>VLOOKUP(A248,URS確認!$E:$F,2,FALSE)</f>
        <v xml:space="preserve">預約撥款                 </v>
      </c>
      <c r="C248" s="313">
        <v>1</v>
      </c>
      <c r="D248" s="126" t="s">
        <v>1706</v>
      </c>
      <c r="E248" s="71">
        <v>44439</v>
      </c>
      <c r="F248" s="71">
        <v>44446</v>
      </c>
      <c r="G248" s="71">
        <v>44446</v>
      </c>
      <c r="H248" s="71">
        <v>44490</v>
      </c>
      <c r="I248" s="313" t="str">
        <f>VLOOKUP(A248,URS確認!E:I,5,FALSE)</f>
        <v>余家興</v>
      </c>
      <c r="L248" s="313" t="s">
        <v>1449</v>
      </c>
    </row>
    <row r="249" spans="1:13" hidden="1">
      <c r="A249" s="313" t="s">
        <v>336</v>
      </c>
      <c r="B249" s="69" t="str">
        <f>VLOOKUP(A249,URS確認!$E:$F,2,FALSE)</f>
        <v xml:space="preserve">預約撥款                 </v>
      </c>
      <c r="C249" s="313">
        <v>2</v>
      </c>
      <c r="D249" s="74" t="s">
        <v>1697</v>
      </c>
      <c r="E249" s="71">
        <v>44439</v>
      </c>
      <c r="F249" s="71">
        <v>44446</v>
      </c>
      <c r="G249" s="71">
        <v>44446</v>
      </c>
      <c r="H249" s="71">
        <v>44490</v>
      </c>
      <c r="I249" s="313" t="str">
        <f>VLOOKUP(A249,URS確認!E:I,5,FALSE)</f>
        <v>余家興</v>
      </c>
      <c r="L249" s="313" t="s">
        <v>1449</v>
      </c>
    </row>
    <row r="250" spans="1:13" hidden="1">
      <c r="A250" s="313" t="s">
        <v>340</v>
      </c>
      <c r="B250" s="69" t="str">
        <f>VLOOKUP(A250,URS確認!$E:$F,2,FALSE)</f>
        <v>預約撥款到期作業</v>
      </c>
      <c r="C250" s="313">
        <v>1</v>
      </c>
      <c r="D250" s="74" t="s">
        <v>1707</v>
      </c>
      <c r="E250" s="71">
        <v>44439</v>
      </c>
      <c r="F250" s="71">
        <v>44446</v>
      </c>
      <c r="G250" s="71">
        <v>44462</v>
      </c>
      <c r="I250" s="313" t="str">
        <f>VLOOKUP(A250,URS確認!E:I,5,FALSE)</f>
        <v>余家興</v>
      </c>
      <c r="L250" s="313" t="s">
        <v>1449</v>
      </c>
    </row>
    <row r="251" spans="1:13" hidden="1">
      <c r="A251" s="313" t="s">
        <v>360</v>
      </c>
      <c r="B251" s="69" t="str">
        <f>VLOOKUP(A251,URS確認!$E:$F,2,FALSE)</f>
        <v xml:space="preserve">交易內容查詢             </v>
      </c>
      <c r="C251" s="313">
        <v>1</v>
      </c>
      <c r="D251" s="74" t="s">
        <v>1708</v>
      </c>
      <c r="E251" s="71">
        <v>44439</v>
      </c>
      <c r="F251" s="71">
        <v>44446</v>
      </c>
      <c r="G251" s="71">
        <v>44446</v>
      </c>
      <c r="H251" s="71">
        <v>44487</v>
      </c>
      <c r="I251" s="313" t="str">
        <f>VLOOKUP(A251,URS確認!E:I,5,FALSE)</f>
        <v>余家興</v>
      </c>
      <c r="L251" s="313" t="s">
        <v>1449</v>
      </c>
    </row>
    <row r="252" spans="1:13" hidden="1">
      <c r="A252" s="313" t="s">
        <v>363</v>
      </c>
      <c r="B252" s="69" t="str">
        <f>VLOOKUP(A252,URS確認!$E:$F,2,FALSE)</f>
        <v xml:space="preserve">交易明細資料查詢         </v>
      </c>
      <c r="C252" s="313">
        <v>1</v>
      </c>
      <c r="D252" s="74" t="s">
        <v>1709</v>
      </c>
      <c r="E252" s="71">
        <v>44439</v>
      </c>
      <c r="F252" s="71">
        <v>44446</v>
      </c>
      <c r="G252" s="71">
        <v>44446</v>
      </c>
      <c r="H252" s="71">
        <v>44487</v>
      </c>
      <c r="I252" s="313" t="str">
        <f>VLOOKUP(A252,URS確認!E:I,5,FALSE)</f>
        <v>余家興</v>
      </c>
      <c r="L252" s="313" t="s">
        <v>1449</v>
      </c>
    </row>
    <row r="253" spans="1:13" hidden="1">
      <c r="A253" s="313" t="s">
        <v>368</v>
      </c>
      <c r="B253" s="69" t="str">
        <f>VLOOKUP(A253,URS確認!$E:$F,2,FALSE)</f>
        <v xml:space="preserve">借戶利率變更             </v>
      </c>
      <c r="C253" s="313">
        <v>1</v>
      </c>
      <c r="D253" s="74" t="s">
        <v>1710</v>
      </c>
      <c r="E253" s="71">
        <v>44439</v>
      </c>
      <c r="F253" s="71">
        <v>44446</v>
      </c>
      <c r="G253" s="71">
        <v>44446</v>
      </c>
      <c r="H253" s="71">
        <v>44487</v>
      </c>
      <c r="I253" s="313" t="str">
        <f>VLOOKUP(A253,URS確認!E:I,5,FALSE)</f>
        <v>余家興</v>
      </c>
      <c r="L253" s="313" t="s">
        <v>1449</v>
      </c>
    </row>
    <row r="254" spans="1:13" hidden="1">
      <c r="A254" s="313" t="s">
        <v>354</v>
      </c>
      <c r="B254" s="69" t="s">
        <v>1711</v>
      </c>
      <c r="C254" s="313">
        <v>1</v>
      </c>
      <c r="D254" s="74" t="s">
        <v>1712</v>
      </c>
      <c r="E254" s="71">
        <v>44439</v>
      </c>
      <c r="F254" s="71">
        <v>44446</v>
      </c>
      <c r="G254" s="71">
        <v>44446</v>
      </c>
      <c r="H254" s="71">
        <v>44469</v>
      </c>
      <c r="I254" s="313" t="str">
        <f>VLOOKUP(A254,URS確認!E:I,5,FALSE)</f>
        <v>余家興</v>
      </c>
      <c r="L254" s="313" t="s">
        <v>1449</v>
      </c>
    </row>
    <row r="255" spans="1:13" hidden="1">
      <c r="A255" s="313" t="s">
        <v>357</v>
      </c>
      <c r="B255" s="69" t="s">
        <v>1713</v>
      </c>
      <c r="C255" s="313">
        <v>1</v>
      </c>
      <c r="D255" s="74" t="s">
        <v>1714</v>
      </c>
      <c r="E255" s="71">
        <v>44439</v>
      </c>
      <c r="F255" s="71">
        <v>44446</v>
      </c>
      <c r="G255" s="71">
        <v>44446</v>
      </c>
      <c r="H255" s="71">
        <v>44469</v>
      </c>
      <c r="I255" s="313" t="str">
        <f>VLOOKUP(A255,URS確認!E:I,5,FALSE)</f>
        <v>余家興</v>
      </c>
      <c r="L255" s="313" t="s">
        <v>1449</v>
      </c>
    </row>
    <row r="256" spans="1:13" hidden="1">
      <c r="A256" s="313" t="s">
        <v>357</v>
      </c>
      <c r="B256" s="69" t="s">
        <v>1713</v>
      </c>
      <c r="C256" s="313">
        <v>2</v>
      </c>
      <c r="D256" s="74" t="s">
        <v>1715</v>
      </c>
      <c r="E256" s="71">
        <v>44439</v>
      </c>
      <c r="F256" s="71">
        <v>44446</v>
      </c>
      <c r="G256" s="71">
        <v>44446</v>
      </c>
      <c r="H256" s="71">
        <v>44469</v>
      </c>
      <c r="I256" s="313" t="str">
        <f>VLOOKUP(A256,URS確認!E:I,5,FALSE)</f>
        <v>余家興</v>
      </c>
      <c r="L256" s="313" t="s">
        <v>1449</v>
      </c>
    </row>
    <row r="257" spans="1:12" hidden="1">
      <c r="A257" s="313" t="s">
        <v>357</v>
      </c>
      <c r="B257" s="69" t="s">
        <v>1713</v>
      </c>
      <c r="C257" s="313">
        <v>3</v>
      </c>
      <c r="D257" s="74" t="s">
        <v>1716</v>
      </c>
      <c r="E257" s="71">
        <v>44439</v>
      </c>
      <c r="F257" s="71">
        <v>44446</v>
      </c>
      <c r="G257" s="71">
        <v>44446</v>
      </c>
      <c r="H257" s="71">
        <v>44469</v>
      </c>
      <c r="I257" s="313" t="str">
        <f>VLOOKUP(A257,URS確認!E:I,5,FALSE)</f>
        <v>余家興</v>
      </c>
      <c r="L257" s="313" t="s">
        <v>1449</v>
      </c>
    </row>
    <row r="258" spans="1:12" ht="49.5" hidden="1" customHeight="1">
      <c r="A258" s="313" t="s">
        <v>357</v>
      </c>
      <c r="B258" s="69" t="s">
        <v>1713</v>
      </c>
      <c r="C258" s="313">
        <v>4</v>
      </c>
      <c r="D258" s="74" t="s">
        <v>1717</v>
      </c>
      <c r="E258" s="71">
        <v>44439</v>
      </c>
      <c r="F258" s="71">
        <v>44446</v>
      </c>
      <c r="G258" s="71">
        <v>44446</v>
      </c>
      <c r="H258" s="71">
        <v>44469</v>
      </c>
      <c r="I258" s="313" t="str">
        <f>VLOOKUP(A258,URS確認!E:I,5,FALSE)</f>
        <v>余家興</v>
      </c>
      <c r="L258" s="313" t="s">
        <v>1449</v>
      </c>
    </row>
    <row r="259" spans="1:12" ht="32.4" hidden="1">
      <c r="A259" s="313" t="s">
        <v>385</v>
      </c>
      <c r="B259" s="69" t="str">
        <f>VLOOKUP(A259,URS確認!$E:$F,2,FALSE)</f>
        <v xml:space="preserve">ACH授權資料查詢                      </v>
      </c>
      <c r="C259" s="313">
        <v>1</v>
      </c>
      <c r="D259" s="74" t="s">
        <v>1718</v>
      </c>
      <c r="E259" s="71">
        <v>44447</v>
      </c>
      <c r="F259" s="71">
        <v>44461</v>
      </c>
      <c r="G259" s="71">
        <v>44461</v>
      </c>
      <c r="I259" s="313" t="str">
        <f>VLOOKUP(A259,URS確認!E:I,5,FALSE)</f>
        <v>余家興</v>
      </c>
      <c r="L259" s="313" t="s">
        <v>1449</v>
      </c>
    </row>
    <row r="260" spans="1:12" ht="33" hidden="1" customHeight="1">
      <c r="A260" s="313" t="s">
        <v>385</v>
      </c>
      <c r="B260" s="69" t="str">
        <f>VLOOKUP(A260,URS確認!$E:$F,2,FALSE)</f>
        <v xml:space="preserve">ACH授權資料查詢                      </v>
      </c>
      <c r="C260" s="313">
        <v>2</v>
      </c>
      <c r="D260" s="74" t="s">
        <v>1719</v>
      </c>
      <c r="E260" s="71">
        <v>44448</v>
      </c>
      <c r="F260" s="71">
        <v>44461</v>
      </c>
      <c r="G260" s="71">
        <v>44461</v>
      </c>
      <c r="I260" s="313" t="str">
        <f>VLOOKUP(A260,URS確認!E:I,5,FALSE)</f>
        <v>余家興</v>
      </c>
      <c r="L260" s="313" t="s">
        <v>1449</v>
      </c>
    </row>
    <row r="261" spans="1:12" hidden="1">
      <c r="A261" s="313" t="s">
        <v>387</v>
      </c>
      <c r="B261" s="69" t="str">
        <f>VLOOKUP(A261,URS確認!$E:$F,2,FALSE)</f>
        <v xml:space="preserve">ACH授權資料建檔                      </v>
      </c>
      <c r="C261" s="313">
        <v>1</v>
      </c>
      <c r="D261" s="74" t="s">
        <v>1720</v>
      </c>
      <c r="E261" s="71">
        <v>44447</v>
      </c>
      <c r="F261" s="71">
        <v>44461</v>
      </c>
      <c r="G261" s="71">
        <v>44461</v>
      </c>
      <c r="I261" s="313" t="str">
        <f>VLOOKUP(A261,URS確認!E:I,5,FALSE)</f>
        <v>余家興</v>
      </c>
      <c r="L261" s="313" t="s">
        <v>1449</v>
      </c>
    </row>
    <row r="262" spans="1:12" ht="33" hidden="1" customHeight="1">
      <c r="A262" s="313" t="s">
        <v>387</v>
      </c>
      <c r="B262" s="69" t="str">
        <f>VLOOKUP(A262,URS確認!$E:$F,2,FALSE)</f>
        <v xml:space="preserve">ACH授權資料建檔                      </v>
      </c>
      <c r="C262" s="313">
        <v>2</v>
      </c>
      <c r="D262" s="156" t="s">
        <v>1721</v>
      </c>
      <c r="E262" s="71">
        <v>44447</v>
      </c>
      <c r="F262" s="71">
        <v>44467</v>
      </c>
      <c r="G262" s="71">
        <v>44467</v>
      </c>
      <c r="I262" s="313" t="str">
        <f>VLOOKUP(A262,URS確認!E:I,5,FALSE)</f>
        <v>余家興</v>
      </c>
      <c r="L262" s="313" t="s">
        <v>1449</v>
      </c>
    </row>
    <row r="263" spans="1:12" hidden="1">
      <c r="A263" s="313" t="s">
        <v>393</v>
      </c>
      <c r="B263" s="69" t="str">
        <f>VLOOKUP(A263,URS確認!$E:$F,2,FALSE)</f>
        <v>帳號授權檔查詢</v>
      </c>
      <c r="C263" s="313">
        <v>1</v>
      </c>
      <c r="D263" s="74" t="s">
        <v>1722</v>
      </c>
      <c r="E263" s="71">
        <v>44447</v>
      </c>
      <c r="F263" s="71">
        <v>44461</v>
      </c>
      <c r="G263" s="71">
        <v>44461</v>
      </c>
      <c r="I263" s="313" t="str">
        <f>VLOOKUP(A263,URS確認!E:I,5,FALSE)</f>
        <v>余家興</v>
      </c>
      <c r="L263" s="313" t="s">
        <v>1449</v>
      </c>
    </row>
    <row r="264" spans="1:12" hidden="1">
      <c r="A264" s="313" t="s">
        <v>395</v>
      </c>
      <c r="B264" s="69" t="str">
        <f>VLOOKUP(A264,URS確認!$E:$F,2,FALSE)</f>
        <v>ACH授權資料歷史紀錄查詢</v>
      </c>
      <c r="C264" s="313">
        <v>1</v>
      </c>
      <c r="D264" s="74" t="s">
        <v>1723</v>
      </c>
      <c r="E264" s="71">
        <v>44447</v>
      </c>
      <c r="F264" s="71">
        <v>44461</v>
      </c>
      <c r="G264" s="71">
        <v>44461</v>
      </c>
      <c r="I264" s="313" t="str">
        <f>VLOOKUP(A264,URS確認!E:I,5,FALSE)</f>
        <v>余家興</v>
      </c>
      <c r="L264" s="313" t="s">
        <v>1449</v>
      </c>
    </row>
    <row r="265" spans="1:12" hidden="1">
      <c r="A265" s="313" t="s">
        <v>395</v>
      </c>
      <c r="B265" s="69" t="str">
        <f>VLOOKUP(A265,URS確認!$E:$F,2,FALSE)</f>
        <v>ACH授權資料歷史紀錄查詢</v>
      </c>
      <c r="C265" s="313">
        <v>2</v>
      </c>
      <c r="D265" s="74" t="s">
        <v>1724</v>
      </c>
      <c r="E265" s="71">
        <v>44447</v>
      </c>
      <c r="F265" s="71">
        <v>44473</v>
      </c>
      <c r="G265" s="71">
        <v>44473</v>
      </c>
      <c r="I265" s="313" t="str">
        <f>VLOOKUP(A265,URS確認!E:I,5,FALSE)</f>
        <v>余家興</v>
      </c>
      <c r="L265" s="313" t="s">
        <v>1449</v>
      </c>
    </row>
    <row r="266" spans="1:12" hidden="1">
      <c r="A266" s="313" t="s">
        <v>395</v>
      </c>
      <c r="B266" s="69" t="str">
        <f>VLOOKUP(A266,URS確認!$E:$F,2,FALSE)</f>
        <v>ACH授權資料歷史紀錄查詢</v>
      </c>
      <c r="C266" s="313">
        <v>3</v>
      </c>
      <c r="D266" s="74" t="s">
        <v>1725</v>
      </c>
      <c r="E266" s="71">
        <v>44447</v>
      </c>
      <c r="F266" s="71">
        <v>44461</v>
      </c>
      <c r="G266" s="71">
        <v>44461</v>
      </c>
      <c r="I266" s="313" t="str">
        <f>VLOOKUP(A266,URS確認!E:I,5,FALSE)</f>
        <v>余家興</v>
      </c>
      <c r="L266" s="313" t="s">
        <v>1449</v>
      </c>
    </row>
    <row r="267" spans="1:12" hidden="1">
      <c r="B267" s="69" t="s">
        <v>1726</v>
      </c>
      <c r="C267" s="313">
        <v>1</v>
      </c>
      <c r="D267" s="69" t="s">
        <v>1727</v>
      </c>
      <c r="E267" s="71">
        <v>44447</v>
      </c>
      <c r="F267" s="71">
        <v>44461</v>
      </c>
      <c r="G267" s="71">
        <v>44461</v>
      </c>
      <c r="I267" s="313" t="s">
        <v>204</v>
      </c>
      <c r="L267" s="313" t="s">
        <v>1449</v>
      </c>
    </row>
    <row r="268" spans="1:12" ht="33" hidden="1" customHeight="1">
      <c r="A268" s="313" t="s">
        <v>230</v>
      </c>
      <c r="B268" s="69" t="str">
        <f>VLOOKUP(A268,URS確認!$E:$F,2,FALSE)</f>
        <v xml:space="preserve">額度資料維護                            </v>
      </c>
      <c r="C268" s="313">
        <v>1</v>
      </c>
      <c r="D268" s="74" t="s">
        <v>1728</v>
      </c>
      <c r="E268" s="71">
        <v>44448</v>
      </c>
      <c r="F268" s="71">
        <v>44467</v>
      </c>
      <c r="G268" s="71">
        <v>44467</v>
      </c>
      <c r="H268" s="71">
        <v>44468</v>
      </c>
      <c r="I268" s="313" t="str">
        <f>VLOOKUP(A268,URS確認!E:I,5,FALSE)</f>
        <v>余家興</v>
      </c>
      <c r="L268" s="313" t="s">
        <v>1449</v>
      </c>
    </row>
    <row r="269" spans="1:12" hidden="1">
      <c r="A269" s="313" t="s">
        <v>230</v>
      </c>
      <c r="B269" s="69" t="str">
        <f>VLOOKUP(A269,URS確認!$E:$F,2,FALSE)</f>
        <v xml:space="preserve">額度資料維護                            </v>
      </c>
      <c r="C269" s="313">
        <v>2</v>
      </c>
      <c r="D269" s="74" t="s">
        <v>1729</v>
      </c>
      <c r="E269" s="71">
        <v>44448</v>
      </c>
      <c r="F269" s="71">
        <v>44461</v>
      </c>
      <c r="G269" s="71">
        <v>44461</v>
      </c>
      <c r="H269" s="71">
        <v>44468</v>
      </c>
      <c r="I269" s="313" t="str">
        <f>VLOOKUP(A269,URS確認!E:I,5,FALSE)</f>
        <v>余家興</v>
      </c>
      <c r="L269" s="313" t="s">
        <v>1449</v>
      </c>
    </row>
    <row r="270" spans="1:12" hidden="1">
      <c r="A270" s="313" t="s">
        <v>397</v>
      </c>
      <c r="B270" s="69" t="str">
        <f>VLOOKUP(A270,URS確認!$E:$F,2,FALSE)</f>
        <v xml:space="preserve">郵局授權資料查詢                     </v>
      </c>
      <c r="C270" s="313">
        <v>1</v>
      </c>
      <c r="D270" s="156" t="s">
        <v>1730</v>
      </c>
      <c r="E270" s="71">
        <v>44452</v>
      </c>
      <c r="F270" s="71">
        <v>44467</v>
      </c>
      <c r="G270" s="71">
        <v>44467</v>
      </c>
      <c r="I270" s="313" t="str">
        <f>VLOOKUP(A270,URS確認!E:I,5,FALSE)</f>
        <v>余家興</v>
      </c>
      <c r="L270" s="313" t="s">
        <v>1449</v>
      </c>
    </row>
    <row r="271" spans="1:12" hidden="1">
      <c r="A271" s="313" t="s">
        <v>399</v>
      </c>
      <c r="B271" s="69" t="str">
        <f>VLOOKUP(A271,URS確認!$E:$F,2,FALSE)</f>
        <v xml:space="preserve">郵局授權資料建檔                     </v>
      </c>
      <c r="C271" s="313">
        <v>1</v>
      </c>
      <c r="D271" s="74" t="s">
        <v>1731</v>
      </c>
      <c r="E271" s="71">
        <v>44452</v>
      </c>
      <c r="F271" s="71">
        <v>44461</v>
      </c>
      <c r="G271" s="71">
        <v>44461</v>
      </c>
      <c r="I271" s="313" t="str">
        <f>VLOOKUP(A271,URS確認!E:I,5,FALSE)</f>
        <v>余家興</v>
      </c>
      <c r="L271" s="313" t="s">
        <v>1449</v>
      </c>
    </row>
    <row r="272" spans="1:12" ht="33" hidden="1" customHeight="1">
      <c r="A272" s="313" t="s">
        <v>393</v>
      </c>
      <c r="B272" s="69" t="str">
        <f>VLOOKUP(A272,URS確認!$E:$F,2,FALSE)</f>
        <v>帳號授權檔查詢</v>
      </c>
      <c r="C272" s="313">
        <v>1</v>
      </c>
      <c r="D272" s="74" t="s">
        <v>1732</v>
      </c>
      <c r="E272" s="71">
        <v>44452</v>
      </c>
      <c r="F272" s="71">
        <v>44461</v>
      </c>
      <c r="G272" s="71">
        <v>44461</v>
      </c>
      <c r="I272" s="313" t="str">
        <f>VLOOKUP(A272,URS確認!E:I,5,FALSE)</f>
        <v>余家興</v>
      </c>
      <c r="L272" s="313" t="s">
        <v>1449</v>
      </c>
    </row>
    <row r="273" spans="1:13" hidden="1">
      <c r="A273" s="313" t="s">
        <v>408</v>
      </c>
      <c r="B273" s="69" t="str">
        <f>VLOOKUP(A273,URS確認!$E:$F,2,FALSE)</f>
        <v xml:space="preserve">暫收款退還               </v>
      </c>
      <c r="C273" s="313">
        <v>1</v>
      </c>
      <c r="D273" s="156" t="s">
        <v>1733</v>
      </c>
      <c r="E273" s="71">
        <v>44452</v>
      </c>
      <c r="F273" s="71">
        <v>44467</v>
      </c>
      <c r="G273" s="71">
        <v>44467</v>
      </c>
      <c r="H273" s="71">
        <v>44487</v>
      </c>
      <c r="I273" s="313" t="str">
        <f>VLOOKUP(A273,URS確認!E:I,5,FALSE)</f>
        <v>余家興</v>
      </c>
      <c r="L273" s="313" t="s">
        <v>1449</v>
      </c>
    </row>
    <row r="274" spans="1:13" hidden="1">
      <c r="A274" s="313" t="s">
        <v>408</v>
      </c>
      <c r="B274" s="69" t="str">
        <f>VLOOKUP(A274,URS確認!$E:$F,2,FALSE)</f>
        <v xml:space="preserve">暫收款退還               </v>
      </c>
      <c r="C274" s="313">
        <v>2</v>
      </c>
      <c r="D274" s="74" t="s">
        <v>1734</v>
      </c>
      <c r="E274" s="71">
        <v>44452</v>
      </c>
      <c r="F274" s="71">
        <v>44461</v>
      </c>
      <c r="G274" s="71">
        <v>44461</v>
      </c>
      <c r="H274" s="71">
        <v>44487</v>
      </c>
      <c r="I274" s="313" t="str">
        <f>VLOOKUP(A274,URS確認!E:I,5,FALSE)</f>
        <v>余家興</v>
      </c>
      <c r="L274" s="313" t="s">
        <v>1449</v>
      </c>
    </row>
    <row r="275" spans="1:13" ht="33" customHeight="1">
      <c r="A275" s="313" t="s">
        <v>420</v>
      </c>
      <c r="B275" s="69" t="str">
        <f>VLOOKUP(A275,URS確認!$E:$F,2,FALSE)</f>
        <v>業務關帳作業</v>
      </c>
      <c r="C275" s="313">
        <v>1</v>
      </c>
      <c r="D275" s="157" t="s">
        <v>1735</v>
      </c>
      <c r="E275" s="71">
        <v>44452</v>
      </c>
      <c r="F275" s="71">
        <v>44466</v>
      </c>
      <c r="G275" s="71">
        <v>44466</v>
      </c>
      <c r="H275" s="71">
        <v>44466</v>
      </c>
      <c r="I275" s="313" t="str">
        <f>VLOOKUP(A275,URS確認!E:I,5,FALSE)</f>
        <v>楊智誠</v>
      </c>
      <c r="L275" s="313" t="s">
        <v>1449</v>
      </c>
    </row>
    <row r="276" spans="1:13">
      <c r="A276" s="313" t="s">
        <v>420</v>
      </c>
      <c r="B276" s="69" t="str">
        <f>VLOOKUP(A276,URS確認!$E:$F,2,FALSE)</f>
        <v>業務關帳作業</v>
      </c>
      <c r="C276" s="313">
        <v>2</v>
      </c>
      <c r="D276" s="156" t="s">
        <v>1736</v>
      </c>
      <c r="E276" s="71">
        <v>44452</v>
      </c>
      <c r="F276" s="71">
        <v>44466</v>
      </c>
      <c r="G276" s="71">
        <v>44466</v>
      </c>
      <c r="H276" s="71">
        <v>44466</v>
      </c>
      <c r="I276" s="313" t="str">
        <f>VLOOKUP(A276,URS確認!E:I,5,FALSE)</f>
        <v>楊智誠</v>
      </c>
      <c r="L276" s="313" t="s">
        <v>1449</v>
      </c>
    </row>
    <row r="277" spans="1:13" hidden="1">
      <c r="A277" s="313" t="s">
        <v>426</v>
      </c>
      <c r="B277" s="69" t="str">
        <f>VLOOKUP(A277,URS確認!$E:$F,2,FALSE)</f>
        <v xml:space="preserve">暫收支票明細資料查詢     </v>
      </c>
      <c r="C277" s="313">
        <v>1</v>
      </c>
      <c r="D277" s="74" t="s">
        <v>1737</v>
      </c>
      <c r="E277" s="71">
        <v>44452</v>
      </c>
      <c r="F277" s="71">
        <v>44470</v>
      </c>
      <c r="G277" s="71">
        <v>44470</v>
      </c>
      <c r="H277" s="71">
        <v>44487</v>
      </c>
      <c r="I277" s="313" t="str">
        <f>VLOOKUP(A277,URS確認!E:I,5,FALSE)</f>
        <v>余家興</v>
      </c>
      <c r="L277" s="313" t="s">
        <v>1449</v>
      </c>
    </row>
    <row r="278" spans="1:13" ht="33" hidden="1" customHeight="1">
      <c r="A278" s="313" t="s">
        <v>426</v>
      </c>
      <c r="B278" s="69" t="str">
        <f>VLOOKUP(A278,URS確認!$E:$F,2,FALSE)</f>
        <v xml:space="preserve">暫收支票明細資料查詢     </v>
      </c>
      <c r="C278" s="313">
        <v>2</v>
      </c>
      <c r="D278" s="74" t="s">
        <v>1738</v>
      </c>
      <c r="E278" s="71">
        <v>44452</v>
      </c>
      <c r="F278" s="71">
        <v>44470</v>
      </c>
      <c r="G278" s="71">
        <v>44470</v>
      </c>
      <c r="H278" s="71">
        <v>44487</v>
      </c>
      <c r="I278" s="313" t="str">
        <f>VLOOKUP(A278,URS確認!E:I,5,FALSE)</f>
        <v>余家興</v>
      </c>
      <c r="M278" s="313" t="s">
        <v>1465</v>
      </c>
    </row>
    <row r="279" spans="1:13" hidden="1">
      <c r="A279" s="313" t="s">
        <v>1396</v>
      </c>
      <c r="B279" s="69" t="e">
        <f>VLOOKUP(A279,URS確認!$E:$F,2,FALSE)</f>
        <v>#N/A</v>
      </c>
      <c r="C279" s="313">
        <v>1</v>
      </c>
      <c r="D279" s="74" t="s">
        <v>1739</v>
      </c>
      <c r="E279" s="71">
        <v>44452</v>
      </c>
      <c r="F279" s="71">
        <v>44470</v>
      </c>
      <c r="G279" s="71">
        <v>44470</v>
      </c>
      <c r="H279" s="71">
        <v>44487</v>
      </c>
      <c r="I279" s="313" t="e">
        <f>VLOOKUP(A279,URS確認!E:I,5,FALSE)</f>
        <v>#N/A</v>
      </c>
      <c r="L279" s="313" t="s">
        <v>1449</v>
      </c>
    </row>
    <row r="280" spans="1:13" ht="33" hidden="1" customHeight="1">
      <c r="A280" s="313" t="s">
        <v>429</v>
      </c>
      <c r="B280" s="69" t="str">
        <f>VLOOKUP(A280,URS確認!$E:$F,2,FALSE)</f>
        <v>支票明細資料查詢-全部</v>
      </c>
      <c r="C280" s="313">
        <v>1</v>
      </c>
      <c r="D280" s="74" t="s">
        <v>1738</v>
      </c>
      <c r="E280" s="71">
        <v>44452</v>
      </c>
      <c r="F280" s="71">
        <v>44470</v>
      </c>
      <c r="G280" s="71">
        <v>44470</v>
      </c>
      <c r="H280" s="71">
        <v>44487</v>
      </c>
      <c r="I280" s="313" t="str">
        <f>VLOOKUP(A280,URS確認!E:I,5,FALSE)</f>
        <v>余家興</v>
      </c>
      <c r="M280" s="313" t="s">
        <v>1465</v>
      </c>
    </row>
    <row r="281" spans="1:13" hidden="1">
      <c r="A281" s="313" t="s">
        <v>432</v>
      </c>
      <c r="B281" s="69" t="str">
        <f>VLOOKUP(A281,URS確認!$E:$F,2,FALSE)</f>
        <v xml:space="preserve">支票內容查詢             </v>
      </c>
      <c r="C281" s="313">
        <v>1</v>
      </c>
      <c r="D281" s="74" t="s">
        <v>1740</v>
      </c>
      <c r="E281" s="71">
        <v>44452</v>
      </c>
      <c r="F281" s="71">
        <v>44470</v>
      </c>
      <c r="G281" s="71">
        <v>44470</v>
      </c>
      <c r="H281" s="71">
        <v>44487</v>
      </c>
      <c r="I281" s="313" t="str">
        <f>VLOOKUP(A281,URS確認!E:I,5,FALSE)</f>
        <v>余家興</v>
      </c>
      <c r="M281" s="313" t="s">
        <v>1465</v>
      </c>
    </row>
    <row r="282" spans="1:13" ht="33" hidden="1" customHeight="1">
      <c r="A282" s="313" t="s">
        <v>717</v>
      </c>
      <c r="B282" s="69" t="str">
        <f>VLOOKUP(A282,URS確認!$E:$F,2,FALSE)</f>
        <v>暫收款銷帳</v>
      </c>
      <c r="C282" s="313">
        <v>1</v>
      </c>
      <c r="D282" s="74" t="s">
        <v>1741</v>
      </c>
      <c r="E282" s="71">
        <v>44453</v>
      </c>
      <c r="F282" s="71">
        <v>44455</v>
      </c>
      <c r="G282" s="71">
        <v>44455</v>
      </c>
      <c r="H282" s="71">
        <v>44487</v>
      </c>
      <c r="I282" s="313" t="str">
        <f>VLOOKUP(A282,URS確認!E:I,5,FALSE)</f>
        <v>余家興</v>
      </c>
      <c r="M282" s="313" t="s">
        <v>1465</v>
      </c>
    </row>
    <row r="283" spans="1:13" ht="82.5" hidden="1" customHeight="1">
      <c r="A283" s="313" t="s">
        <v>434</v>
      </c>
      <c r="B283" s="69" t="str">
        <f>VLOOKUP(A283,URS確認!$E:$F,2,FALSE)</f>
        <v>貸後契變手續費明細資料查詢(未入帳)</v>
      </c>
      <c r="C283" s="313">
        <v>1</v>
      </c>
      <c r="D283" s="74" t="s">
        <v>1742</v>
      </c>
      <c r="E283" s="71">
        <v>44453</v>
      </c>
      <c r="F283" s="71">
        <v>44455</v>
      </c>
      <c r="G283" s="71">
        <v>44455</v>
      </c>
      <c r="H283" s="71">
        <v>44461</v>
      </c>
      <c r="I283" s="313" t="str">
        <f>VLOOKUP(A283,URS確認!E:I,5,FALSE)</f>
        <v>陳昱衡</v>
      </c>
      <c r="L283" s="313" t="s">
        <v>1449</v>
      </c>
    </row>
    <row r="284" spans="1:13" hidden="1">
      <c r="A284" s="313" t="s">
        <v>438</v>
      </c>
      <c r="B284" s="69" t="str">
        <f>VLOOKUP(A284,URS確認!$E:$F,2,FALSE)</f>
        <v xml:space="preserve">貸後契變手續費維護                      </v>
      </c>
      <c r="C284" s="313">
        <v>1</v>
      </c>
      <c r="D284" s="74" t="s">
        <v>1743</v>
      </c>
      <c r="E284" s="71">
        <v>44453</v>
      </c>
      <c r="F284" s="71">
        <v>44455</v>
      </c>
      <c r="G284" s="71">
        <v>44455</v>
      </c>
      <c r="H284" s="71">
        <v>44461</v>
      </c>
      <c r="I284" s="313" t="str">
        <f>VLOOKUP(A284,URS確認!E:I,5,FALSE)</f>
        <v>陳昱衡</v>
      </c>
      <c r="L284" s="313" t="s">
        <v>1449</v>
      </c>
    </row>
    <row r="285" spans="1:13" hidden="1">
      <c r="A285" s="313" t="s">
        <v>438</v>
      </c>
      <c r="B285" s="69" t="str">
        <f>VLOOKUP(A285,URS確認!$E:$F,2,FALSE)</f>
        <v xml:space="preserve">貸後契變手續費維護                      </v>
      </c>
      <c r="C285" s="313">
        <v>2</v>
      </c>
      <c r="D285" s="74" t="s">
        <v>1744</v>
      </c>
      <c r="E285" s="71">
        <v>44453</v>
      </c>
      <c r="F285" s="71">
        <v>44455</v>
      </c>
      <c r="G285" s="71">
        <v>44455</v>
      </c>
      <c r="H285" s="71">
        <v>44461</v>
      </c>
      <c r="I285" s="313" t="str">
        <f>VLOOKUP(A285,URS確認!E:I,5,FALSE)</f>
        <v>陳昱衡</v>
      </c>
      <c r="L285" s="313" t="s">
        <v>1449</v>
      </c>
    </row>
    <row r="286" spans="1:13" hidden="1">
      <c r="A286" s="313" t="s">
        <v>438</v>
      </c>
      <c r="B286" s="69" t="str">
        <f>VLOOKUP(A286,URS確認!$E:$F,2,FALSE)</f>
        <v xml:space="preserve">貸後契變手續費維護                      </v>
      </c>
      <c r="C286" s="313">
        <v>3</v>
      </c>
      <c r="D286" s="74" t="s">
        <v>1745</v>
      </c>
      <c r="E286" s="71">
        <v>44453</v>
      </c>
      <c r="F286" s="71">
        <v>44455</v>
      </c>
      <c r="G286" s="71">
        <v>44455</v>
      </c>
      <c r="H286" s="71">
        <v>44461</v>
      </c>
      <c r="I286" s="313" t="str">
        <f>VLOOKUP(A286,URS確認!E:I,5,FALSE)</f>
        <v>陳昱衡</v>
      </c>
      <c r="L286" s="313" t="s">
        <v>1449</v>
      </c>
    </row>
    <row r="287" spans="1:13" hidden="1">
      <c r="A287" s="313" t="s">
        <v>438</v>
      </c>
      <c r="B287" s="69" t="str">
        <f>VLOOKUP(A287,URS確認!$E:$F,2,FALSE)</f>
        <v xml:space="preserve">貸後契變手續費維護                      </v>
      </c>
      <c r="C287" s="313">
        <v>4</v>
      </c>
      <c r="D287" s="74" t="s">
        <v>1746</v>
      </c>
      <c r="E287" s="71">
        <v>44453</v>
      </c>
      <c r="F287" s="71">
        <v>44463</v>
      </c>
      <c r="G287" s="71">
        <v>44463</v>
      </c>
      <c r="H287" s="71">
        <v>44463</v>
      </c>
      <c r="I287" s="313" t="str">
        <f>VLOOKUP(A287,URS確認!E:I,5,FALSE)</f>
        <v>陳昱衡</v>
      </c>
      <c r="L287" s="313" t="s">
        <v>1449</v>
      </c>
    </row>
    <row r="288" spans="1:13" hidden="1">
      <c r="A288" s="313" t="s">
        <v>441</v>
      </c>
      <c r="B288" s="69" t="str">
        <f>VLOOKUP(A288,URS確認!$E:$F,2,FALSE)</f>
        <v>貸後契變手續費明細資料查詢</v>
      </c>
      <c r="C288" s="313">
        <v>1</v>
      </c>
      <c r="D288" s="74" t="s">
        <v>1747</v>
      </c>
      <c r="E288" s="71">
        <v>44453</v>
      </c>
      <c r="F288" s="71">
        <v>44455</v>
      </c>
      <c r="G288" s="71">
        <v>44455</v>
      </c>
      <c r="H288" s="71">
        <v>44461</v>
      </c>
      <c r="I288" s="313" t="str">
        <f>VLOOKUP(A288,URS確認!E:I,5,FALSE)</f>
        <v>陳昱衡</v>
      </c>
      <c r="L288" s="313" t="s">
        <v>1449</v>
      </c>
    </row>
    <row r="289" spans="1:13">
      <c r="A289" s="313" t="s">
        <v>801</v>
      </c>
      <c r="B289" s="69" t="str">
        <f>VLOOKUP(A289,URS確認!$E:$F,2,FALSE)</f>
        <v>銷帳歷史明細查詢</v>
      </c>
      <c r="C289" s="313">
        <v>1</v>
      </c>
      <c r="D289" s="74" t="s">
        <v>1748</v>
      </c>
      <c r="E289" s="71">
        <v>44453</v>
      </c>
      <c r="F289" s="71">
        <v>44466</v>
      </c>
      <c r="G289" s="71">
        <v>44466</v>
      </c>
      <c r="H289" s="71">
        <v>44466</v>
      </c>
      <c r="I289" s="313" t="str">
        <f>VLOOKUP(A289,URS確認!E:I,5,FALSE)</f>
        <v>楊智誠</v>
      </c>
      <c r="L289" s="313" t="s">
        <v>1449</v>
      </c>
    </row>
    <row r="290" spans="1:13" ht="33" hidden="1" customHeight="1">
      <c r="A290" s="313" t="s">
        <v>450</v>
      </c>
      <c r="B290" s="69" t="str">
        <f>VLOOKUP(A290,URS確認!$E:$F,2,FALSE)</f>
        <v xml:space="preserve">火險到期檔產生作業         </v>
      </c>
      <c r="C290" s="313">
        <v>1</v>
      </c>
      <c r="D290" s="74" t="s">
        <v>1749</v>
      </c>
      <c r="E290" s="71">
        <v>44455</v>
      </c>
      <c r="F290" s="71">
        <v>44504</v>
      </c>
      <c r="G290" s="71">
        <v>44504</v>
      </c>
      <c r="H290" s="71"/>
      <c r="I290" s="313" t="s">
        <v>203</v>
      </c>
      <c r="L290" s="313" t="s">
        <v>1449</v>
      </c>
    </row>
    <row r="291" spans="1:13" hidden="1">
      <c r="A291" s="313" t="s">
        <v>450</v>
      </c>
      <c r="B291" s="69" t="str">
        <f>VLOOKUP(A291,URS確認!$E:$F,2,FALSE)</f>
        <v xml:space="preserve">火險到期檔產生作業         </v>
      </c>
      <c r="C291" s="313">
        <v>2</v>
      </c>
      <c r="D291" s="69" t="s">
        <v>1750</v>
      </c>
      <c r="E291" s="71">
        <v>44455</v>
      </c>
      <c r="F291" s="71">
        <v>44504</v>
      </c>
      <c r="G291" s="71">
        <v>44504</v>
      </c>
      <c r="H291" s="71"/>
      <c r="I291" s="313" t="s">
        <v>203</v>
      </c>
      <c r="L291" s="313" t="s">
        <v>1449</v>
      </c>
    </row>
    <row r="292" spans="1:13" ht="33" hidden="1" customHeight="1">
      <c r="A292" s="313" t="s">
        <v>454</v>
      </c>
      <c r="B292" s="69" t="str">
        <f>VLOOKUP(A292,URS確認!$E:$F,2,FALSE)</f>
        <v xml:space="preserve">續約保單資料維護           </v>
      </c>
      <c r="C292" s="313">
        <v>1</v>
      </c>
      <c r="D292" s="74" t="s">
        <v>1751</v>
      </c>
      <c r="E292" s="71">
        <v>44455</v>
      </c>
      <c r="F292" s="71">
        <v>44504</v>
      </c>
      <c r="G292" s="71">
        <v>44504</v>
      </c>
      <c r="H292" s="71"/>
      <c r="I292" s="313" t="s">
        <v>203</v>
      </c>
      <c r="L292" s="313" t="s">
        <v>1449</v>
      </c>
    </row>
    <row r="293" spans="1:13" ht="66" hidden="1" customHeight="1">
      <c r="A293" s="313" t="s">
        <v>454</v>
      </c>
      <c r="B293" s="69" t="str">
        <f>VLOOKUP(A293,URS確認!$E:$F,2,FALSE)</f>
        <v xml:space="preserve">續約保單資料維護           </v>
      </c>
      <c r="C293" s="313">
        <v>2</v>
      </c>
      <c r="D293" s="74" t="s">
        <v>1752</v>
      </c>
      <c r="E293" s="71">
        <v>44455</v>
      </c>
      <c r="F293" s="71">
        <v>44504</v>
      </c>
      <c r="G293" s="71">
        <v>44504</v>
      </c>
      <c r="H293" s="71"/>
      <c r="I293" s="313" t="s">
        <v>203</v>
      </c>
      <c r="L293" s="313" t="s">
        <v>1449</v>
      </c>
    </row>
    <row r="294" spans="1:13" hidden="1">
      <c r="A294" s="313" t="s">
        <v>454</v>
      </c>
      <c r="B294" s="69" t="str">
        <f>VLOOKUP(A294,URS確認!$E:$F,2,FALSE)</f>
        <v xml:space="preserve">續約保單資料維護           </v>
      </c>
      <c r="C294" s="313">
        <v>3</v>
      </c>
      <c r="D294" s="69" t="s">
        <v>1753</v>
      </c>
      <c r="E294" s="71">
        <v>44455</v>
      </c>
      <c r="F294" s="71">
        <v>44504</v>
      </c>
      <c r="G294" s="71">
        <v>44504</v>
      </c>
      <c r="H294" s="71"/>
      <c r="I294" s="313" t="s">
        <v>203</v>
      </c>
      <c r="L294" s="313" t="s">
        <v>1449</v>
      </c>
    </row>
    <row r="295" spans="1:13" ht="49.5" hidden="1" customHeight="1">
      <c r="A295" s="313" t="s">
        <v>452</v>
      </c>
      <c r="B295" s="69" t="str">
        <f>VLOOKUP(A295,URS確認!$E:$F,2,FALSE)</f>
        <v xml:space="preserve">火險詢價作業               </v>
      </c>
      <c r="C295" s="313">
        <v>1</v>
      </c>
      <c r="D295" s="74" t="s">
        <v>1754</v>
      </c>
      <c r="E295" s="71">
        <v>44455</v>
      </c>
      <c r="F295" s="71">
        <v>44469</v>
      </c>
      <c r="G295" s="71">
        <v>44469</v>
      </c>
      <c r="H295" s="71"/>
      <c r="I295" s="313" t="s">
        <v>203</v>
      </c>
      <c r="M295" s="313" t="s">
        <v>1465</v>
      </c>
    </row>
    <row r="296" spans="1:13" ht="49.5" hidden="1" customHeight="1">
      <c r="A296" s="313" t="s">
        <v>458</v>
      </c>
      <c r="B296" s="69" t="str">
        <f>VLOOKUP(A296,URS確認!$E:$F,2,FALSE)</f>
        <v xml:space="preserve">火險通知作業               </v>
      </c>
      <c r="C296" s="313">
        <v>1</v>
      </c>
      <c r="D296" s="74" t="s">
        <v>1755</v>
      </c>
      <c r="E296" s="71">
        <v>44455</v>
      </c>
      <c r="F296" s="71">
        <v>44469</v>
      </c>
      <c r="G296" s="71">
        <v>44469</v>
      </c>
      <c r="H296" s="71"/>
      <c r="I296" s="313" t="s">
        <v>203</v>
      </c>
      <c r="M296" s="313" t="s">
        <v>1465</v>
      </c>
    </row>
    <row r="297" spans="1:13" hidden="1">
      <c r="A297" s="313" t="s">
        <v>458</v>
      </c>
      <c r="B297" s="69" t="str">
        <f>VLOOKUP(A297,URS確認!$E:$F,2,FALSE)</f>
        <v xml:space="preserve">火險通知作業               </v>
      </c>
      <c r="C297" s="313">
        <v>2</v>
      </c>
      <c r="D297" s="69" t="s">
        <v>1756</v>
      </c>
      <c r="E297" s="71">
        <v>44455</v>
      </c>
      <c r="F297" s="71">
        <v>44504</v>
      </c>
      <c r="G297" s="71">
        <v>44504</v>
      </c>
      <c r="H297" s="71"/>
      <c r="I297" s="313" t="s">
        <v>203</v>
      </c>
      <c r="L297" s="313" t="s">
        <v>1449</v>
      </c>
    </row>
    <row r="298" spans="1:13" hidden="1">
      <c r="B298" s="69" t="s">
        <v>1757</v>
      </c>
      <c r="C298" s="313">
        <v>1</v>
      </c>
      <c r="D298" s="74" t="s">
        <v>1758</v>
      </c>
      <c r="E298" s="71">
        <v>44455</v>
      </c>
      <c r="F298" s="71" t="s">
        <v>1759</v>
      </c>
      <c r="H298" s="71"/>
      <c r="I298" s="313" t="s">
        <v>203</v>
      </c>
      <c r="M298" s="313" t="s">
        <v>1465</v>
      </c>
    </row>
    <row r="299" spans="1:13" ht="33" hidden="1" customHeight="1">
      <c r="B299" s="69" t="s">
        <v>1760</v>
      </c>
      <c r="C299" s="313">
        <v>1</v>
      </c>
      <c r="D299" s="74" t="s">
        <v>1761</v>
      </c>
      <c r="E299" s="71">
        <v>44455</v>
      </c>
      <c r="F299" s="71">
        <v>44469</v>
      </c>
      <c r="G299" s="71">
        <v>44469</v>
      </c>
      <c r="H299" s="71"/>
      <c r="I299" s="313" t="s">
        <v>203</v>
      </c>
      <c r="M299" s="313" t="s">
        <v>1465</v>
      </c>
    </row>
    <row r="300" spans="1:13" ht="33" hidden="1" customHeight="1">
      <c r="A300" s="313" t="s">
        <v>471</v>
      </c>
      <c r="B300" s="69" t="str">
        <f>VLOOKUP(A300,URS確認!$E:$F,2,FALSE)</f>
        <v xml:space="preserve">產出銀行扣帳檔                       </v>
      </c>
      <c r="C300" s="313">
        <v>1</v>
      </c>
      <c r="D300" s="156" t="s">
        <v>1762</v>
      </c>
      <c r="E300" s="71">
        <v>44456</v>
      </c>
      <c r="F300" s="71">
        <v>44466</v>
      </c>
      <c r="G300" s="71">
        <v>44466</v>
      </c>
      <c r="I300" s="313" t="s">
        <v>203</v>
      </c>
      <c r="L300" s="313" t="s">
        <v>1449</v>
      </c>
    </row>
    <row r="301" spans="1:13" ht="66" hidden="1" customHeight="1">
      <c r="A301" s="313" t="s">
        <v>471</v>
      </c>
      <c r="B301" s="69" t="str">
        <f>VLOOKUP(A301,URS確認!$E:$F,2,FALSE)</f>
        <v xml:space="preserve">產出銀行扣帳檔                       </v>
      </c>
      <c r="C301" s="313">
        <v>2</v>
      </c>
      <c r="D301" s="74" t="s">
        <v>1763</v>
      </c>
      <c r="E301" s="71">
        <v>44456</v>
      </c>
      <c r="F301" s="71">
        <v>44469</v>
      </c>
      <c r="G301" s="71">
        <v>44469</v>
      </c>
      <c r="I301" s="313" t="s">
        <v>203</v>
      </c>
      <c r="L301" s="313" t="s">
        <v>1449</v>
      </c>
    </row>
    <row r="302" spans="1:13" hidden="1">
      <c r="A302" s="313" t="s">
        <v>471</v>
      </c>
      <c r="B302" s="69" t="str">
        <f>VLOOKUP(A302,URS確認!$E:$F,2,FALSE)</f>
        <v xml:space="preserve">產出銀行扣帳檔                       </v>
      </c>
      <c r="C302" s="313">
        <v>3</v>
      </c>
      <c r="D302" s="69" t="s">
        <v>1764</v>
      </c>
      <c r="E302" s="71">
        <v>44456</v>
      </c>
      <c r="F302" s="71">
        <v>44469</v>
      </c>
      <c r="G302" s="71">
        <v>44469</v>
      </c>
      <c r="I302" s="313" t="s">
        <v>203</v>
      </c>
      <c r="M302" s="313" t="s">
        <v>1465</v>
      </c>
    </row>
    <row r="303" spans="1:13" hidden="1">
      <c r="A303" s="313" t="s">
        <v>477</v>
      </c>
      <c r="B303" s="69" t="str">
        <f>VLOOKUP(A303,URS確認!$E:$F,2,FALSE)</f>
        <v xml:space="preserve">銀行扣款檔資料維護                   </v>
      </c>
      <c r="C303" s="313">
        <v>1</v>
      </c>
      <c r="D303" s="74" t="s">
        <v>1764</v>
      </c>
      <c r="E303" s="71">
        <v>44456</v>
      </c>
      <c r="F303" s="71">
        <v>44469</v>
      </c>
      <c r="G303" s="71">
        <v>44469</v>
      </c>
      <c r="I303" s="313" t="s">
        <v>203</v>
      </c>
      <c r="M303" s="313" t="s">
        <v>1465</v>
      </c>
    </row>
    <row r="304" spans="1:13" ht="33" hidden="1" customHeight="1">
      <c r="A304" s="313" t="s">
        <v>477</v>
      </c>
      <c r="B304" s="69" t="str">
        <f>VLOOKUP(A304,URS確認!$E:$F,2,FALSE)</f>
        <v xml:space="preserve">銀行扣款檔資料維護                   </v>
      </c>
      <c r="C304" s="313">
        <v>2</v>
      </c>
      <c r="D304" s="74" t="s">
        <v>1765</v>
      </c>
      <c r="E304" s="71">
        <v>44456</v>
      </c>
      <c r="F304" s="71">
        <v>44469</v>
      </c>
      <c r="G304" s="71">
        <v>44469</v>
      </c>
      <c r="I304" s="313" t="s">
        <v>203</v>
      </c>
      <c r="M304" s="313" t="s">
        <v>1465</v>
      </c>
    </row>
    <row r="305" spans="1:16" ht="33" hidden="1" customHeight="1">
      <c r="A305" s="313" t="s">
        <v>479</v>
      </c>
      <c r="B305" s="69" t="str">
        <f>VLOOKUP(A305,URS確認!$E:$F,2,FALSE)</f>
        <v xml:space="preserve">銀行扣款(媒體製作)                   </v>
      </c>
      <c r="C305" s="313">
        <v>1</v>
      </c>
      <c r="D305" s="74" t="s">
        <v>1762</v>
      </c>
      <c r="E305" s="71">
        <v>44456</v>
      </c>
      <c r="F305" s="71">
        <v>44466</v>
      </c>
      <c r="G305" s="71">
        <v>44466</v>
      </c>
      <c r="I305" s="313" t="s">
        <v>203</v>
      </c>
      <c r="L305" s="313" t="s">
        <v>1449</v>
      </c>
    </row>
    <row r="306" spans="1:16" s="159" customFormat="1" ht="66" hidden="1" customHeight="1">
      <c r="A306" s="158" t="s">
        <v>479</v>
      </c>
      <c r="B306" s="159" t="str">
        <f>VLOOKUP(A306,URS確認!$E:$F,2,FALSE)</f>
        <v xml:space="preserve">銀行扣款(媒體製作)                   </v>
      </c>
      <c r="C306" s="158">
        <v>2</v>
      </c>
      <c r="D306" s="156" t="s">
        <v>1766</v>
      </c>
      <c r="E306" s="160">
        <v>44456</v>
      </c>
      <c r="F306" s="71">
        <v>44469</v>
      </c>
      <c r="G306" s="71">
        <v>44469</v>
      </c>
      <c r="H306" s="158"/>
      <c r="I306" s="313" t="s">
        <v>203</v>
      </c>
      <c r="J306" s="158"/>
      <c r="K306" s="158"/>
      <c r="L306" s="158"/>
      <c r="M306" s="313" t="s">
        <v>1465</v>
      </c>
      <c r="N306" s="158"/>
      <c r="O306" s="158"/>
      <c r="P306" s="158"/>
    </row>
    <row r="307" spans="1:16" ht="33" hidden="1" customHeight="1">
      <c r="A307" s="313" t="s">
        <v>479</v>
      </c>
      <c r="B307" s="69" t="str">
        <f>VLOOKUP(A307,URS確認!$E:$F,2,FALSE)</f>
        <v xml:space="preserve">銀行扣款(媒體製作)                   </v>
      </c>
      <c r="C307" s="313">
        <v>3</v>
      </c>
      <c r="D307" s="74" t="s">
        <v>1767</v>
      </c>
      <c r="E307" s="71">
        <v>44456</v>
      </c>
      <c r="F307" s="71">
        <v>44512</v>
      </c>
      <c r="G307" s="71">
        <v>44509</v>
      </c>
      <c r="I307" s="313" t="s">
        <v>203</v>
      </c>
      <c r="L307" s="313" t="s">
        <v>1449</v>
      </c>
    </row>
    <row r="308" spans="1:16" hidden="1">
      <c r="A308" s="313" t="s">
        <v>481</v>
      </c>
      <c r="B308" s="69" t="str">
        <f>VLOOKUP(A308,URS確認!$E:$F,2,FALSE)</f>
        <v>銀扣扣款前通知</v>
      </c>
      <c r="C308" s="313">
        <v>1</v>
      </c>
      <c r="D308" s="74" t="s">
        <v>1768</v>
      </c>
      <c r="E308" s="71">
        <v>44456</v>
      </c>
      <c r="F308" s="71">
        <v>44466</v>
      </c>
      <c r="G308" s="71">
        <v>44466</v>
      </c>
      <c r="I308" s="313" t="s">
        <v>203</v>
      </c>
      <c r="L308" s="313" t="s">
        <v>1449</v>
      </c>
    </row>
    <row r="309" spans="1:16" ht="33" hidden="1" customHeight="1">
      <c r="A309" s="313" t="s">
        <v>474</v>
      </c>
      <c r="B309" s="69" t="str">
        <f>VLOOKUP(A309,URS確認!$E:$F,2,FALSE)</f>
        <v xml:space="preserve">銀行扣款檔資料查詢                   </v>
      </c>
      <c r="C309" s="313">
        <v>1</v>
      </c>
      <c r="D309" s="74" t="s">
        <v>1769</v>
      </c>
      <c r="E309" s="71">
        <v>44456</v>
      </c>
      <c r="F309" s="71">
        <v>44466</v>
      </c>
      <c r="G309" s="71">
        <v>44466</v>
      </c>
      <c r="I309" s="313" t="s">
        <v>203</v>
      </c>
      <c r="L309" s="313" t="s">
        <v>1449</v>
      </c>
    </row>
    <row r="310" spans="1:16" hidden="1">
      <c r="A310" s="313" t="s">
        <v>474</v>
      </c>
      <c r="B310" s="69" t="str">
        <f>VLOOKUP(A310,URS確認!$E:$F,2,FALSE)</f>
        <v xml:space="preserve">銀行扣款檔資料查詢                   </v>
      </c>
      <c r="C310" s="313">
        <v>2</v>
      </c>
      <c r="D310" s="74" t="s">
        <v>1770</v>
      </c>
      <c r="E310" s="71">
        <v>44456</v>
      </c>
      <c r="F310" s="71">
        <v>44466</v>
      </c>
      <c r="G310" s="71">
        <v>44466</v>
      </c>
      <c r="I310" s="313" t="s">
        <v>203</v>
      </c>
      <c r="L310" s="313" t="s">
        <v>1449</v>
      </c>
    </row>
    <row r="311" spans="1:16" hidden="1">
      <c r="A311" s="313" t="s">
        <v>474</v>
      </c>
      <c r="B311" s="69" t="str">
        <f>VLOOKUP(A311,URS確認!$E:$F,2,FALSE)</f>
        <v xml:space="preserve">銀行扣款檔資料查詢                   </v>
      </c>
      <c r="C311" s="313">
        <v>3</v>
      </c>
      <c r="D311" s="74" t="s">
        <v>1771</v>
      </c>
      <c r="E311" s="71">
        <v>44456</v>
      </c>
      <c r="F311" s="71">
        <v>44466</v>
      </c>
      <c r="G311" s="71">
        <v>44466</v>
      </c>
      <c r="I311" s="313" t="s">
        <v>203</v>
      </c>
      <c r="L311" s="313" t="s">
        <v>1449</v>
      </c>
    </row>
    <row r="312" spans="1:16" ht="33" hidden="1" customHeight="1">
      <c r="A312" s="313" t="s">
        <v>474</v>
      </c>
      <c r="B312" s="69" t="str">
        <f>VLOOKUP(A312,URS確認!$E:$F,2,FALSE)</f>
        <v xml:space="preserve">銀行扣款檔資料查詢                   </v>
      </c>
      <c r="C312" s="313">
        <v>4</v>
      </c>
      <c r="D312" s="74" t="s">
        <v>1772</v>
      </c>
      <c r="E312" s="71">
        <v>44456</v>
      </c>
      <c r="F312" s="71">
        <v>44512</v>
      </c>
      <c r="G312" s="71">
        <v>44512</v>
      </c>
      <c r="I312" s="313" t="s">
        <v>203</v>
      </c>
      <c r="M312" s="313" t="s">
        <v>1473</v>
      </c>
    </row>
    <row r="313" spans="1:16" ht="99" hidden="1" customHeight="1">
      <c r="A313" s="313" t="s">
        <v>474</v>
      </c>
      <c r="B313" s="69" t="str">
        <f>VLOOKUP(A313,URS確認!$E:$F,2,FALSE)</f>
        <v xml:space="preserve">銀行扣款檔資料查詢                   </v>
      </c>
      <c r="C313" s="313">
        <v>5</v>
      </c>
      <c r="D313" s="74" t="s">
        <v>1773</v>
      </c>
      <c r="E313" s="71">
        <v>44456</v>
      </c>
      <c r="F313" s="71">
        <v>44466</v>
      </c>
      <c r="G313" s="71">
        <v>44466</v>
      </c>
      <c r="I313" s="313" t="s">
        <v>203</v>
      </c>
      <c r="L313" s="313" t="s">
        <v>1449</v>
      </c>
    </row>
    <row r="314" spans="1:16" hidden="1">
      <c r="B314" s="69" t="s">
        <v>1774</v>
      </c>
      <c r="C314" s="313">
        <v>1</v>
      </c>
      <c r="D314" s="74" t="s">
        <v>1775</v>
      </c>
      <c r="E314" s="71">
        <v>44456</v>
      </c>
      <c r="F314" s="71">
        <v>44469</v>
      </c>
      <c r="G314" s="71">
        <v>44469</v>
      </c>
      <c r="I314" s="313" t="s">
        <v>203</v>
      </c>
      <c r="M314" s="313" t="s">
        <v>1473</v>
      </c>
    </row>
    <row r="315" spans="1:16" ht="33" hidden="1" customHeight="1">
      <c r="B315" s="69" t="s">
        <v>1774</v>
      </c>
      <c r="C315" s="313">
        <v>2</v>
      </c>
      <c r="D315" s="74" t="s">
        <v>1776</v>
      </c>
      <c r="E315" s="71">
        <v>44456</v>
      </c>
      <c r="F315" s="71">
        <v>44469</v>
      </c>
      <c r="G315" s="71">
        <v>44469</v>
      </c>
      <c r="I315" s="313" t="s">
        <v>203</v>
      </c>
      <c r="M315" s="313" t="s">
        <v>1473</v>
      </c>
    </row>
    <row r="316" spans="1:16" hidden="1">
      <c r="A316" s="313" t="s">
        <v>1777</v>
      </c>
      <c r="B316" s="69" t="s">
        <v>1760</v>
      </c>
      <c r="C316" s="313">
        <v>1</v>
      </c>
      <c r="D316" s="74" t="s">
        <v>1778</v>
      </c>
      <c r="E316" s="71">
        <v>44456</v>
      </c>
      <c r="F316" s="71">
        <v>44466</v>
      </c>
      <c r="G316" s="71">
        <v>44466</v>
      </c>
      <c r="I316" s="313" t="s">
        <v>203</v>
      </c>
      <c r="L316" s="313" t="s">
        <v>1449</v>
      </c>
    </row>
    <row r="317" spans="1:16" hidden="1">
      <c r="A317" s="313" t="s">
        <v>1777</v>
      </c>
      <c r="B317" s="69" t="s">
        <v>1760</v>
      </c>
      <c r="C317" s="313">
        <v>2</v>
      </c>
      <c r="D317" s="74" t="s">
        <v>1779</v>
      </c>
      <c r="E317" s="71">
        <v>44456</v>
      </c>
      <c r="F317" s="71">
        <v>44512</v>
      </c>
      <c r="G317" s="313"/>
      <c r="I317" s="313" t="s">
        <v>203</v>
      </c>
      <c r="M317" s="313" t="s">
        <v>1473</v>
      </c>
    </row>
    <row r="318" spans="1:16" hidden="1">
      <c r="A318" s="313" t="s">
        <v>492</v>
      </c>
      <c r="B318" s="69" t="str">
        <f>VLOOKUP(A318,URS確認!$E:$F,2,FALSE)</f>
        <v>債權維護</v>
      </c>
      <c r="C318" s="313">
        <v>1</v>
      </c>
      <c r="D318" s="74" t="s">
        <v>1780</v>
      </c>
      <c r="E318" s="71">
        <v>44462</v>
      </c>
      <c r="F318" s="71">
        <v>44467</v>
      </c>
      <c r="G318" s="71">
        <v>44467</v>
      </c>
      <c r="H318" s="71">
        <v>44473</v>
      </c>
      <c r="I318" s="313" t="str">
        <f>VLOOKUP(A318,URS確認!E:I,5,FALSE)</f>
        <v>蘇曉玲</v>
      </c>
      <c r="L318" s="313" t="s">
        <v>1449</v>
      </c>
    </row>
    <row r="319" spans="1:16" ht="34.049999999999997" hidden="1" customHeight="1">
      <c r="A319" s="313" t="s">
        <v>492</v>
      </c>
      <c r="B319" s="69" t="str">
        <f>VLOOKUP(A319,URS確認!$E:$F,2,FALSE)</f>
        <v>債權維護</v>
      </c>
      <c r="C319" s="313">
        <v>2</v>
      </c>
      <c r="D319" s="74" t="s">
        <v>1781</v>
      </c>
      <c r="E319" s="71">
        <v>44462</v>
      </c>
      <c r="F319" s="71">
        <v>44468</v>
      </c>
      <c r="G319" s="71">
        <v>44468</v>
      </c>
      <c r="H319" s="71">
        <v>44473</v>
      </c>
      <c r="I319" s="313" t="str">
        <f>VLOOKUP(A319,URS確認!E:I,5,FALSE)</f>
        <v>蘇曉玲</v>
      </c>
      <c r="L319" s="313" t="s">
        <v>1449</v>
      </c>
    </row>
    <row r="320" spans="1:16" hidden="1">
      <c r="A320" s="313" t="s">
        <v>492</v>
      </c>
      <c r="B320" s="69" t="str">
        <f>VLOOKUP(A320,URS確認!$E:$F,2,FALSE)</f>
        <v>債權維護</v>
      </c>
      <c r="C320" s="313">
        <v>3</v>
      </c>
      <c r="D320" s="74" t="s">
        <v>1782</v>
      </c>
      <c r="E320" s="71">
        <v>44462</v>
      </c>
      <c r="F320" s="71">
        <v>44468</v>
      </c>
      <c r="G320" s="71">
        <v>44468</v>
      </c>
      <c r="H320" s="71">
        <v>44473</v>
      </c>
      <c r="I320" s="313" t="str">
        <f>VLOOKUP(A320,URS確認!E:I,5,FALSE)</f>
        <v>蘇曉玲</v>
      </c>
      <c r="L320" s="313" t="s">
        <v>1449</v>
      </c>
    </row>
    <row r="321" spans="1:13" hidden="1">
      <c r="A321" s="313" t="s">
        <v>492</v>
      </c>
      <c r="B321" s="69" t="str">
        <f>VLOOKUP(A321,URS確認!$E:$F,2,FALSE)</f>
        <v>債權維護</v>
      </c>
      <c r="C321" s="313">
        <v>4</v>
      </c>
      <c r="D321" s="74" t="s">
        <v>1783</v>
      </c>
      <c r="E321" s="71">
        <v>44462</v>
      </c>
      <c r="F321" s="71">
        <v>44467</v>
      </c>
      <c r="G321" s="71">
        <v>44467</v>
      </c>
      <c r="H321" s="71">
        <v>44473</v>
      </c>
      <c r="I321" s="313" t="str">
        <f>VLOOKUP(A321,URS確認!E:I,5,FALSE)</f>
        <v>蘇曉玲</v>
      </c>
      <c r="L321" s="313" t="s">
        <v>1449</v>
      </c>
    </row>
    <row r="322" spans="1:13" hidden="1">
      <c r="A322" s="313" t="s">
        <v>492</v>
      </c>
      <c r="B322" s="69" t="str">
        <f>VLOOKUP(A322,URS確認!$E:$F,2,FALSE)</f>
        <v>債權維護</v>
      </c>
      <c r="C322" s="313">
        <v>5</v>
      </c>
      <c r="D322" s="74" t="s">
        <v>1784</v>
      </c>
      <c r="E322" s="71">
        <v>44462</v>
      </c>
      <c r="F322" s="71">
        <v>44475</v>
      </c>
      <c r="G322" s="71">
        <v>44469</v>
      </c>
      <c r="H322" s="71">
        <v>44473</v>
      </c>
      <c r="I322" s="313" t="str">
        <f>VLOOKUP(A322,URS確認!E:I,5,FALSE)</f>
        <v>蘇曉玲</v>
      </c>
      <c r="L322" s="313" t="s">
        <v>1449</v>
      </c>
    </row>
    <row r="323" spans="1:13" hidden="1">
      <c r="A323" s="313" t="s">
        <v>492</v>
      </c>
      <c r="B323" s="69" t="str">
        <f>VLOOKUP(A323,URS確認!$E:$F,2,FALSE)</f>
        <v>債權維護</v>
      </c>
      <c r="C323" s="313">
        <v>6</v>
      </c>
      <c r="D323" s="74" t="s">
        <v>1785</v>
      </c>
      <c r="E323" s="71">
        <v>44462</v>
      </c>
      <c r="F323" s="71">
        <v>44475</v>
      </c>
      <c r="G323" s="71">
        <v>44469</v>
      </c>
      <c r="H323" s="71">
        <v>44473</v>
      </c>
      <c r="I323" s="313" t="str">
        <f>VLOOKUP(A323,URS確認!E:I,5,FALSE)</f>
        <v>蘇曉玲</v>
      </c>
      <c r="L323" s="313" t="s">
        <v>1449</v>
      </c>
    </row>
    <row r="324" spans="1:13" hidden="1">
      <c r="A324" s="313" t="s">
        <v>496</v>
      </c>
      <c r="B324" s="69" t="str">
        <f>VLOOKUP(A324,URS確認!$E:$F,2,FALSE)</f>
        <v xml:space="preserve">債務協商滯繳/應繳明細查詢             </v>
      </c>
      <c r="C324" s="313">
        <v>1</v>
      </c>
      <c r="D324" s="74" t="s">
        <v>1786</v>
      </c>
      <c r="E324" s="71">
        <v>44462</v>
      </c>
      <c r="F324" s="71">
        <v>44467</v>
      </c>
      <c r="G324" s="71">
        <v>44467</v>
      </c>
      <c r="H324" s="71">
        <v>44468</v>
      </c>
      <c r="I324" s="313" t="str">
        <f>VLOOKUP(A324,URS確認!E:I,5,FALSE)</f>
        <v>蘇曉玲</v>
      </c>
      <c r="L324" s="313" t="s">
        <v>1449</v>
      </c>
    </row>
    <row r="325" spans="1:13" ht="33" hidden="1" customHeight="1">
      <c r="A325" s="313" t="s">
        <v>496</v>
      </c>
      <c r="B325" s="69" t="str">
        <f>VLOOKUP(A325,URS確認!$E:$F,2,FALSE)</f>
        <v xml:space="preserve">債務協商滯繳/應繳明細查詢             </v>
      </c>
      <c r="C325" s="313">
        <v>2</v>
      </c>
      <c r="D325" s="74" t="s">
        <v>1787</v>
      </c>
      <c r="E325" s="71">
        <v>44462</v>
      </c>
      <c r="F325" s="71">
        <v>44475</v>
      </c>
      <c r="I325" s="313" t="str">
        <f>VLOOKUP(A325,URS確認!E:I,5,FALSE)</f>
        <v>蘇曉玲</v>
      </c>
      <c r="M325" s="313" t="s">
        <v>1465</v>
      </c>
    </row>
    <row r="326" spans="1:13" hidden="1">
      <c r="A326" s="313" t="s">
        <v>496</v>
      </c>
      <c r="B326" s="69" t="str">
        <f>VLOOKUP(A326,URS確認!$E:$F,2,FALSE)</f>
        <v xml:space="preserve">債務協商滯繳/應繳明細查詢             </v>
      </c>
      <c r="C326" s="313">
        <v>3</v>
      </c>
      <c r="D326" s="74" t="s">
        <v>1788</v>
      </c>
      <c r="E326" s="71">
        <v>44462</v>
      </c>
      <c r="F326" s="71">
        <v>44467</v>
      </c>
      <c r="G326" s="71">
        <v>44467</v>
      </c>
      <c r="H326" s="71">
        <v>44468</v>
      </c>
      <c r="I326" s="313" t="str">
        <f>VLOOKUP(A326,URS確認!E:I,5,FALSE)</f>
        <v>蘇曉玲</v>
      </c>
      <c r="L326" s="313" t="s">
        <v>1449</v>
      </c>
    </row>
    <row r="327" spans="1:13" hidden="1">
      <c r="A327" s="313" t="s">
        <v>490</v>
      </c>
      <c r="B327" s="69" t="str">
        <f>VLOOKUP(A327,URS確認!$E:$F,2,FALSE)</f>
        <v>債權案件明細查詢</v>
      </c>
      <c r="C327" s="313">
        <v>1</v>
      </c>
      <c r="D327" s="74" t="s">
        <v>1789</v>
      </c>
      <c r="E327" s="71">
        <v>44462</v>
      </c>
      <c r="F327" s="71">
        <v>44468</v>
      </c>
      <c r="G327" s="71">
        <v>44468</v>
      </c>
      <c r="H327" s="71">
        <v>44470</v>
      </c>
      <c r="I327" s="313" t="str">
        <f>VLOOKUP(A327,URS確認!E:I,5,FALSE)</f>
        <v>蘇曉玲</v>
      </c>
      <c r="L327" s="313" t="s">
        <v>1449</v>
      </c>
    </row>
    <row r="328" spans="1:13" hidden="1">
      <c r="A328" s="313" t="s">
        <v>502</v>
      </c>
      <c r="B328" s="69" t="str">
        <f>VLOOKUP(A328,URS確認!$E:$F,2,FALSE)</f>
        <v xml:space="preserve">期款試算                              </v>
      </c>
      <c r="C328" s="313">
        <v>1</v>
      </c>
      <c r="D328" s="74" t="s">
        <v>1790</v>
      </c>
      <c r="E328" s="71">
        <v>44462</v>
      </c>
      <c r="F328" s="71">
        <v>44467</v>
      </c>
      <c r="G328" s="71">
        <v>44467</v>
      </c>
      <c r="H328" s="71">
        <v>44468</v>
      </c>
      <c r="I328" s="313" t="str">
        <f>VLOOKUP(A328,URS確認!E:I,5,FALSE)</f>
        <v>蘇曉玲</v>
      </c>
      <c r="L328" s="313" t="s">
        <v>1449</v>
      </c>
    </row>
    <row r="329" spans="1:13" ht="33" hidden="1" customHeight="1">
      <c r="A329" s="313" t="s">
        <v>506</v>
      </c>
      <c r="B329" s="69" t="str">
        <f>VLOOKUP(A329,URS確認!$E:$F,2,FALSE)</f>
        <v>債務協商作業-整批處理</v>
      </c>
      <c r="C329" s="313">
        <v>1</v>
      </c>
      <c r="D329" s="74" t="s">
        <v>1791</v>
      </c>
      <c r="E329" s="71">
        <v>44463</v>
      </c>
      <c r="F329" s="71">
        <v>44475</v>
      </c>
      <c r="G329" s="71">
        <v>44474</v>
      </c>
      <c r="H329" s="71">
        <v>44474</v>
      </c>
      <c r="I329" s="313" t="str">
        <f>VLOOKUP(A329,URS確認!E:I,5,FALSE)</f>
        <v>蘇曉玲</v>
      </c>
      <c r="M329" s="313" t="s">
        <v>1465</v>
      </c>
    </row>
    <row r="330" spans="1:13" hidden="1">
      <c r="A330" s="313" t="s">
        <v>535</v>
      </c>
      <c r="B330" s="69" t="str">
        <f>VLOOKUP(A330,URS確認!$E:$F,2,FALSE)</f>
        <v xml:space="preserve">最大債權撥付回覆檔檢核                </v>
      </c>
      <c r="C330" s="313">
        <v>1</v>
      </c>
      <c r="D330" s="74" t="s">
        <v>1792</v>
      </c>
      <c r="E330" s="71">
        <v>44463</v>
      </c>
      <c r="F330" s="71">
        <v>44475</v>
      </c>
      <c r="G330" s="71">
        <v>44473</v>
      </c>
      <c r="H330" s="71">
        <v>44473</v>
      </c>
      <c r="I330" s="313" t="str">
        <f>VLOOKUP(A330,URS確認!E:I,5,FALSE)</f>
        <v>蘇曉玲</v>
      </c>
      <c r="L330" s="313" t="s">
        <v>1449</v>
      </c>
    </row>
    <row r="331" spans="1:13" hidden="1">
      <c r="A331" s="313" t="s">
        <v>537</v>
      </c>
      <c r="B331" s="69" t="str">
        <f>VLOOKUP(A331,URS確認!$E:$F,2,FALSE)</f>
        <v xml:space="preserve">一般債權撥付資料檢核                  </v>
      </c>
      <c r="C331" s="313">
        <v>1</v>
      </c>
      <c r="D331" s="74" t="s">
        <v>1792</v>
      </c>
      <c r="E331" s="71">
        <v>44463</v>
      </c>
      <c r="F331" s="71">
        <v>44475</v>
      </c>
      <c r="G331" s="71">
        <v>44473</v>
      </c>
      <c r="H331" s="71">
        <v>44473</v>
      </c>
      <c r="I331" s="313" t="str">
        <f>VLOOKUP(A331,URS確認!E:I,5,FALSE)</f>
        <v>蘇曉玲</v>
      </c>
      <c r="L331" s="313" t="s">
        <v>1449</v>
      </c>
    </row>
    <row r="332" spans="1:13" ht="33" hidden="1" customHeight="1">
      <c r="A332" s="313" t="s">
        <v>490</v>
      </c>
      <c r="B332" s="69" t="str">
        <f>VLOOKUP(A332,URS確認!$E:$F,2,FALSE)</f>
        <v>債權案件明細查詢</v>
      </c>
      <c r="C332" s="313">
        <v>1</v>
      </c>
      <c r="D332" s="74" t="s">
        <v>1793</v>
      </c>
      <c r="E332" s="71">
        <v>44463</v>
      </c>
      <c r="F332" s="71">
        <v>44475</v>
      </c>
      <c r="G332" s="71">
        <v>44469</v>
      </c>
      <c r="H332" s="71">
        <v>44470</v>
      </c>
      <c r="I332" s="313" t="str">
        <f>VLOOKUP(A332,URS確認!E:I,5,FALSE)</f>
        <v>蘇曉玲</v>
      </c>
      <c r="M332" s="313" t="s">
        <v>1465</v>
      </c>
    </row>
    <row r="333" spans="1:13" hidden="1">
      <c r="A333" s="313" t="s">
        <v>513</v>
      </c>
      <c r="B333" s="69" t="str">
        <f>VLOOKUP(A333,URS確認!$E:$F,2,FALSE)</f>
        <v xml:space="preserve">債務協商交易資料查詢                  </v>
      </c>
      <c r="C333" s="313">
        <v>1</v>
      </c>
      <c r="D333" s="74" t="s">
        <v>1794</v>
      </c>
      <c r="E333" s="71">
        <v>44463</v>
      </c>
      <c r="F333" s="71">
        <v>44467</v>
      </c>
      <c r="G333" s="71">
        <v>44467</v>
      </c>
      <c r="H333" s="71">
        <v>44468</v>
      </c>
      <c r="I333" s="313" t="str">
        <f>VLOOKUP(A333,URS確認!E:I,5,FALSE)</f>
        <v>蘇曉玲</v>
      </c>
      <c r="L333" s="313" t="s">
        <v>1449</v>
      </c>
    </row>
    <row r="334" spans="1:13" ht="66" hidden="1" customHeight="1">
      <c r="A334" s="313" t="s">
        <v>513</v>
      </c>
      <c r="B334" s="69" t="str">
        <f>VLOOKUP(A334,URS確認!$E:$F,2,FALSE)</f>
        <v xml:space="preserve">債務協商交易資料查詢                  </v>
      </c>
      <c r="C334" s="313">
        <v>2</v>
      </c>
      <c r="D334" s="74" t="s">
        <v>1795</v>
      </c>
      <c r="E334" s="71">
        <v>44463</v>
      </c>
      <c r="F334" s="71">
        <v>44475</v>
      </c>
      <c r="G334" s="71">
        <v>44474</v>
      </c>
      <c r="H334" s="71">
        <v>44474</v>
      </c>
      <c r="I334" s="313" t="str">
        <f>VLOOKUP(A334,URS確認!E:I,5,FALSE)</f>
        <v>蘇曉玲</v>
      </c>
      <c r="M334" s="313" t="s">
        <v>1465</v>
      </c>
    </row>
    <row r="335" spans="1:13">
      <c r="A335" s="313" t="s">
        <v>544</v>
      </c>
      <c r="B335" s="69" t="str">
        <f>VLOOKUP(A335,URS確認!$E:$F,2,FALSE)</f>
        <v>單位及主管代號維護</v>
      </c>
      <c r="C335" s="313">
        <v>1</v>
      </c>
      <c r="D335" s="74" t="s">
        <v>1796</v>
      </c>
      <c r="E335" s="71">
        <v>44466</v>
      </c>
      <c r="F335" s="71">
        <v>44475</v>
      </c>
      <c r="G335" s="71">
        <v>44475</v>
      </c>
      <c r="H335" s="71">
        <v>44475</v>
      </c>
      <c r="I335" s="313" t="str">
        <f>VLOOKUP(A335,URS確認!E:I,5,FALSE)</f>
        <v>楊智誠</v>
      </c>
      <c r="L335" s="313" t="s">
        <v>1449</v>
      </c>
    </row>
    <row r="336" spans="1:13">
      <c r="A336" s="313" t="s">
        <v>544</v>
      </c>
      <c r="B336" s="69" t="str">
        <f>VLOOKUP(A336,URS確認!$E:$F,2,FALSE)</f>
        <v>單位及主管代號維護</v>
      </c>
      <c r="C336" s="313">
        <v>2</v>
      </c>
      <c r="D336" s="74" t="s">
        <v>1797</v>
      </c>
      <c r="E336" s="71">
        <v>44466</v>
      </c>
      <c r="F336" s="71">
        <v>44475</v>
      </c>
      <c r="G336" s="71">
        <v>44475</v>
      </c>
      <c r="H336" s="71">
        <v>44475</v>
      </c>
      <c r="I336" s="313" t="str">
        <f>VLOOKUP(A336,URS確認!E:I,5,FALSE)</f>
        <v>楊智誠</v>
      </c>
      <c r="L336" s="313" t="s">
        <v>1449</v>
      </c>
    </row>
    <row r="337" spans="1:12">
      <c r="A337" s="313" t="s">
        <v>539</v>
      </c>
      <c r="B337" s="69" t="str">
        <f>VLOOKUP(A337,URS確認!$E:$F,2,FALSE)</f>
        <v>單位及主管代號查詢</v>
      </c>
      <c r="C337" s="313">
        <v>1</v>
      </c>
      <c r="D337" s="74" t="s">
        <v>1796</v>
      </c>
      <c r="E337" s="71">
        <v>44466</v>
      </c>
      <c r="F337" s="71">
        <v>44475</v>
      </c>
      <c r="G337" s="71">
        <v>44475</v>
      </c>
      <c r="H337" s="71">
        <v>44475</v>
      </c>
      <c r="I337" s="313" t="str">
        <f>VLOOKUP(A337,URS確認!E:I,5,FALSE)</f>
        <v>楊智誠</v>
      </c>
      <c r="L337" s="313" t="s">
        <v>1449</v>
      </c>
    </row>
    <row r="338" spans="1:12">
      <c r="A338" s="313" t="s">
        <v>539</v>
      </c>
      <c r="B338" s="69" t="str">
        <f>VLOOKUP(A338,URS確認!$E:$F,2,FALSE)</f>
        <v>單位及主管代號查詢</v>
      </c>
      <c r="C338" s="313">
        <v>2</v>
      </c>
      <c r="D338" s="74" t="s">
        <v>1798</v>
      </c>
      <c r="E338" s="71">
        <v>44466</v>
      </c>
      <c r="F338" s="71">
        <v>44475</v>
      </c>
      <c r="G338" s="71">
        <v>44475</v>
      </c>
      <c r="H338" s="71">
        <v>44475</v>
      </c>
      <c r="I338" s="313" t="str">
        <f>VLOOKUP(A338,URS確認!E:I,5,FALSE)</f>
        <v>楊智誠</v>
      </c>
      <c r="L338" s="313" t="s">
        <v>1449</v>
      </c>
    </row>
    <row r="339" spans="1:12">
      <c r="A339" s="313" t="s">
        <v>539</v>
      </c>
      <c r="B339" s="69" t="str">
        <f>VLOOKUP(A339,URS確認!$E:$F,2,FALSE)</f>
        <v>單位及主管代號查詢</v>
      </c>
      <c r="C339" s="313">
        <v>3</v>
      </c>
      <c r="D339" s="74" t="s">
        <v>1799</v>
      </c>
      <c r="E339" s="71">
        <v>44466</v>
      </c>
      <c r="F339" s="71">
        <v>44475</v>
      </c>
      <c r="G339" s="71">
        <v>44475</v>
      </c>
      <c r="H339" s="71">
        <v>44475</v>
      </c>
      <c r="I339" s="313" t="str">
        <f>VLOOKUP(A339,URS確認!E:I,5,FALSE)</f>
        <v>楊智誠</v>
      </c>
      <c r="L339" s="313" t="s">
        <v>1449</v>
      </c>
    </row>
    <row r="340" spans="1:12" ht="49.5" customHeight="1">
      <c r="A340" s="313" t="s">
        <v>546</v>
      </c>
      <c r="B340" s="69" t="str">
        <f>VLOOKUP(A340,URS確認!$E:$F,2,FALSE)</f>
        <v>單位代號查詢</v>
      </c>
      <c r="C340" s="313">
        <v>1</v>
      </c>
      <c r="D340" s="74" t="s">
        <v>1800</v>
      </c>
      <c r="E340" s="71">
        <v>44466</v>
      </c>
      <c r="F340" s="71">
        <v>44475</v>
      </c>
      <c r="G340" s="71">
        <v>44475</v>
      </c>
      <c r="H340" s="71">
        <v>44475</v>
      </c>
      <c r="I340" s="313" t="str">
        <f>VLOOKUP(A340,URS確認!E:I,5,FALSE)</f>
        <v>楊智誠</v>
      </c>
      <c r="L340" s="313" t="s">
        <v>1449</v>
      </c>
    </row>
    <row r="341" spans="1:12">
      <c r="A341" s="313" t="s">
        <v>552</v>
      </c>
      <c r="B341" s="69" t="str">
        <f>VLOOKUP(A341,URS確認!$E:$F,2,FALSE)</f>
        <v>各類代碼檔查詢</v>
      </c>
      <c r="C341" s="313">
        <v>1</v>
      </c>
      <c r="D341" s="74" t="s">
        <v>1801</v>
      </c>
      <c r="E341" s="71">
        <v>44466</v>
      </c>
      <c r="F341" s="71">
        <v>44475</v>
      </c>
      <c r="G341" s="71">
        <v>44475</v>
      </c>
      <c r="H341" s="71">
        <v>44475</v>
      </c>
      <c r="I341" s="313" t="str">
        <f>VLOOKUP(A341,URS確認!E:I,5,FALSE)</f>
        <v>楊智誠</v>
      </c>
      <c r="L341" s="313" t="s">
        <v>1449</v>
      </c>
    </row>
    <row r="342" spans="1:12">
      <c r="A342" s="313" t="s">
        <v>552</v>
      </c>
      <c r="B342" s="69" t="str">
        <f>VLOOKUP(A342,URS確認!$E:$F,2,FALSE)</f>
        <v>各類代碼檔查詢</v>
      </c>
      <c r="C342" s="313">
        <v>2</v>
      </c>
      <c r="D342" s="74" t="s">
        <v>1798</v>
      </c>
      <c r="E342" s="71">
        <v>44466</v>
      </c>
      <c r="F342" s="71">
        <v>44475</v>
      </c>
      <c r="G342" s="71">
        <v>44475</v>
      </c>
      <c r="H342" s="71">
        <v>44475</v>
      </c>
      <c r="I342" s="313" t="str">
        <f>VLOOKUP(A342,URS確認!E:I,5,FALSE)</f>
        <v>楊智誠</v>
      </c>
      <c r="L342" s="313" t="s">
        <v>1449</v>
      </c>
    </row>
    <row r="343" spans="1:12">
      <c r="A343" s="313" t="s">
        <v>554</v>
      </c>
      <c r="B343" s="69" t="str">
        <f>VLOOKUP(A343,URS確認!$E:$F,2,FALSE)</f>
        <v>各類代碼檔維護</v>
      </c>
      <c r="C343" s="313">
        <v>1</v>
      </c>
      <c r="D343" s="74" t="s">
        <v>1802</v>
      </c>
      <c r="E343" s="71">
        <v>44466</v>
      </c>
      <c r="F343" s="71">
        <v>44475</v>
      </c>
      <c r="G343" s="71">
        <v>44475</v>
      </c>
      <c r="H343" s="71">
        <v>44475</v>
      </c>
      <c r="I343" s="313" t="str">
        <f>VLOOKUP(A343,URS確認!E:I,5,FALSE)</f>
        <v>楊智誠</v>
      </c>
      <c r="L343" s="313" t="s">
        <v>1449</v>
      </c>
    </row>
    <row r="344" spans="1:12">
      <c r="A344" s="313" t="s">
        <v>548</v>
      </c>
      <c r="B344" s="69" t="str">
        <f>VLOOKUP(A344,URS確認!$E:$F,2,FALSE)</f>
        <v>特殊/例假日查詢</v>
      </c>
      <c r="C344" s="313">
        <v>1</v>
      </c>
      <c r="D344" s="74" t="s">
        <v>1803</v>
      </c>
      <c r="E344" s="71">
        <v>44466</v>
      </c>
      <c r="F344" s="71">
        <v>44475</v>
      </c>
      <c r="G344" s="71">
        <v>44475</v>
      </c>
      <c r="H344" s="71">
        <v>44475</v>
      </c>
      <c r="I344" s="313" t="str">
        <f>VLOOKUP(A344,URS確認!E:I,5,FALSE)</f>
        <v>楊智誠</v>
      </c>
      <c r="L344" s="313" t="s">
        <v>1449</v>
      </c>
    </row>
    <row r="345" spans="1:12">
      <c r="A345" s="313" t="s">
        <v>595</v>
      </c>
      <c r="B345" s="69" t="str">
        <f>VLOOKUP(A345,URS確認!$E:$F,2,FALSE)</f>
        <v>地區別資料查詢</v>
      </c>
      <c r="C345" s="313">
        <v>1</v>
      </c>
      <c r="D345" s="74" t="s">
        <v>1804</v>
      </c>
      <c r="E345" s="71">
        <v>44467</v>
      </c>
      <c r="F345" s="71">
        <v>44475</v>
      </c>
      <c r="G345" s="71">
        <v>44475</v>
      </c>
      <c r="H345" s="71">
        <v>44475</v>
      </c>
      <c r="I345" s="313" t="str">
        <f>VLOOKUP(A345,URS確認!E:I,5,FALSE)</f>
        <v>楊智誠</v>
      </c>
      <c r="L345" s="313" t="s">
        <v>1449</v>
      </c>
    </row>
    <row r="346" spans="1:12">
      <c r="A346" s="313" t="s">
        <v>597</v>
      </c>
      <c r="B346" s="69" t="str">
        <f>VLOOKUP(A346,URS確認!$E:$F,2,FALSE)</f>
        <v>地區別資料維護</v>
      </c>
      <c r="C346" s="313">
        <v>1</v>
      </c>
      <c r="D346" s="74" t="s">
        <v>1805</v>
      </c>
      <c r="E346" s="71">
        <v>44467</v>
      </c>
      <c r="F346" s="71">
        <v>44475</v>
      </c>
      <c r="G346" s="71">
        <v>44475</v>
      </c>
      <c r="H346" s="71">
        <v>44475</v>
      </c>
      <c r="I346" s="313" t="str">
        <f>VLOOKUP(A346,URS確認!E:I,5,FALSE)</f>
        <v>楊智誠</v>
      </c>
      <c r="L346" s="313" t="s">
        <v>1449</v>
      </c>
    </row>
    <row r="347" spans="1:12">
      <c r="A347" s="313" t="s">
        <v>585</v>
      </c>
      <c r="B347" s="69" t="str">
        <f>VLOOKUP(A347,URS確認!$E:$F,2,FALSE)</f>
        <v>聯徵報送-地區別資料查詢</v>
      </c>
      <c r="C347" s="313">
        <v>1</v>
      </c>
      <c r="D347" s="74" t="s">
        <v>1806</v>
      </c>
      <c r="E347" s="71">
        <v>44467</v>
      </c>
      <c r="F347" s="71">
        <v>44475</v>
      </c>
      <c r="G347" s="71">
        <v>44475</v>
      </c>
      <c r="H347" s="71">
        <v>44475</v>
      </c>
      <c r="I347" s="313" t="str">
        <f>VLOOKUP(A347,URS確認!E:I,5,FALSE)</f>
        <v>楊智誠</v>
      </c>
      <c r="L347" s="313" t="s">
        <v>1449</v>
      </c>
    </row>
    <row r="348" spans="1:12">
      <c r="A348" s="313" t="s">
        <v>585</v>
      </c>
      <c r="B348" s="69" t="str">
        <f>VLOOKUP(A348,URS確認!$E:$F,2,FALSE)</f>
        <v>聯徵報送-地區別資料查詢</v>
      </c>
      <c r="C348" s="313">
        <v>2</v>
      </c>
      <c r="D348" s="74" t="s">
        <v>1807</v>
      </c>
      <c r="E348" s="71">
        <v>44467</v>
      </c>
      <c r="F348" s="71">
        <v>44475</v>
      </c>
      <c r="G348" s="71">
        <v>44475</v>
      </c>
      <c r="H348" s="71">
        <v>44475</v>
      </c>
      <c r="I348" s="313" t="str">
        <f>VLOOKUP(A348,URS確認!E:I,5,FALSE)</f>
        <v>楊智誠</v>
      </c>
      <c r="L348" s="313" t="s">
        <v>1449</v>
      </c>
    </row>
    <row r="349" spans="1:12">
      <c r="A349" s="313" t="s">
        <v>589</v>
      </c>
      <c r="B349" s="69" t="str">
        <f>VLOOKUP(A349,URS確認!$E:$F,2,FALSE)</f>
        <v>聯徵報送-地區別資料維護</v>
      </c>
      <c r="C349" s="313">
        <v>1</v>
      </c>
      <c r="D349" s="74" t="s">
        <v>1808</v>
      </c>
      <c r="E349" s="71">
        <v>44467</v>
      </c>
      <c r="F349" s="71">
        <v>44475</v>
      </c>
      <c r="G349" s="71">
        <v>44475</v>
      </c>
      <c r="H349" s="71">
        <v>44475</v>
      </c>
      <c r="I349" s="313" t="str">
        <f>VLOOKUP(A349,URS確認!E:I,5,FALSE)</f>
        <v>楊智誠</v>
      </c>
      <c r="L349" s="313" t="s">
        <v>1449</v>
      </c>
    </row>
    <row r="350" spans="1:12">
      <c r="A350" s="313" t="s">
        <v>589</v>
      </c>
      <c r="B350" s="69" t="str">
        <f>VLOOKUP(A350,URS確認!$E:$F,2,FALSE)</f>
        <v>聯徵報送-地區別資料維護</v>
      </c>
      <c r="C350" s="313">
        <v>2</v>
      </c>
      <c r="D350" s="74" t="s">
        <v>1809</v>
      </c>
      <c r="E350" s="71">
        <v>44467</v>
      </c>
      <c r="F350" s="71">
        <v>44475</v>
      </c>
      <c r="G350" s="71">
        <v>44475</v>
      </c>
      <c r="H350" s="71">
        <v>44475</v>
      </c>
      <c r="I350" s="313" t="str">
        <f>VLOOKUP(A350,URS確認!E:I,5,FALSE)</f>
        <v>楊智誠</v>
      </c>
      <c r="L350" s="313" t="s">
        <v>1449</v>
      </c>
    </row>
    <row r="351" spans="1:12">
      <c r="A351" s="313" t="s">
        <v>589</v>
      </c>
      <c r="B351" s="69" t="str">
        <f>VLOOKUP(A351,URS確認!$E:$F,2,FALSE)</f>
        <v>聯徵報送-地區別資料維護</v>
      </c>
      <c r="C351" s="313">
        <v>3</v>
      </c>
      <c r="D351" s="74" t="s">
        <v>1810</v>
      </c>
      <c r="E351" s="71">
        <v>44467</v>
      </c>
      <c r="F351" s="71">
        <v>44475</v>
      </c>
      <c r="G351" s="71">
        <v>44475</v>
      </c>
      <c r="H351" s="71">
        <v>44475</v>
      </c>
      <c r="I351" s="313" t="str">
        <f>VLOOKUP(A351,URS確認!E:I,5,FALSE)</f>
        <v>楊智誠</v>
      </c>
      <c r="L351" s="313" t="s">
        <v>1449</v>
      </c>
    </row>
    <row r="352" spans="1:12">
      <c r="A352" s="313" t="s">
        <v>589</v>
      </c>
      <c r="B352" s="69" t="str">
        <f>VLOOKUP(A352,URS確認!$E:$F,2,FALSE)</f>
        <v>聯徵報送-地區別資料維護</v>
      </c>
      <c r="C352" s="313">
        <v>4</v>
      </c>
      <c r="D352" s="74" t="s">
        <v>1811</v>
      </c>
      <c r="E352" s="71">
        <v>44467</v>
      </c>
      <c r="F352" s="71">
        <v>44475</v>
      </c>
      <c r="G352" s="71">
        <v>44475</v>
      </c>
      <c r="H352" s="71">
        <v>44475</v>
      </c>
      <c r="I352" s="313" t="str">
        <f>VLOOKUP(A352,URS確認!E:I,5,FALSE)</f>
        <v>楊智誠</v>
      </c>
      <c r="L352" s="313" t="s">
        <v>1449</v>
      </c>
    </row>
    <row r="353" spans="1:13" hidden="1">
      <c r="A353" s="313" t="s">
        <v>145</v>
      </c>
      <c r="B353" s="69" t="str">
        <f>VLOOKUP(A353,URS確認!$E:$F,2,FALSE)</f>
        <v>顧客明細資料查詢</v>
      </c>
      <c r="C353" s="313">
        <v>1</v>
      </c>
      <c r="D353" s="74" t="s">
        <v>1812</v>
      </c>
      <c r="E353" s="71">
        <v>44467</v>
      </c>
      <c r="F353" s="71">
        <v>44477</v>
      </c>
      <c r="G353" s="71">
        <v>44475</v>
      </c>
      <c r="H353" s="71">
        <v>44475</v>
      </c>
      <c r="I353" s="313" t="str">
        <f>VLOOKUP(A353,URS確認!E:I,5,FALSE)</f>
        <v>張嘉榮</v>
      </c>
      <c r="L353" s="313" t="s">
        <v>1449</v>
      </c>
    </row>
    <row r="354" spans="1:13" ht="33" customHeight="1">
      <c r="A354" s="313" t="s">
        <v>1140</v>
      </c>
      <c r="B354" s="69" t="str">
        <f>VLOOKUP(A354,URS確認!$E:$F,2,FALSE)</f>
        <v>使用者資料維護</v>
      </c>
      <c r="C354" s="313">
        <v>1</v>
      </c>
      <c r="D354" s="74" t="s">
        <v>1813</v>
      </c>
      <c r="E354" s="71">
        <v>44467</v>
      </c>
      <c r="F354" s="71">
        <v>44476</v>
      </c>
      <c r="G354" s="71">
        <v>44476</v>
      </c>
      <c r="H354" s="71">
        <v>44476</v>
      </c>
      <c r="I354" s="313" t="str">
        <f>VLOOKUP(A354,URS確認!E:I,5,FALSE)</f>
        <v>楊智誠</v>
      </c>
      <c r="L354" s="313" t="s">
        <v>1449</v>
      </c>
    </row>
    <row r="355" spans="1:13">
      <c r="A355" s="313" t="s">
        <v>619</v>
      </c>
      <c r="B355" s="69" t="str">
        <f>VLOOKUP(A355,URS確認!$E:$F,2,FALSE)</f>
        <v>保險/鑑定公司資料維護</v>
      </c>
      <c r="C355" s="313">
        <v>1</v>
      </c>
      <c r="D355" s="74" t="s">
        <v>1814</v>
      </c>
      <c r="E355" s="71">
        <v>44467</v>
      </c>
      <c r="F355" s="71">
        <v>44475</v>
      </c>
      <c r="G355" s="71">
        <v>44475</v>
      </c>
      <c r="H355" s="71">
        <v>44475</v>
      </c>
      <c r="I355" s="313" t="str">
        <f>VLOOKUP(A355,URS確認!E:I,5,FALSE)</f>
        <v>楊智誠</v>
      </c>
      <c r="L355" s="313" t="s">
        <v>1449</v>
      </c>
    </row>
    <row r="356" spans="1:13">
      <c r="A356" s="313" t="s">
        <v>627</v>
      </c>
      <c r="B356" s="69" t="str">
        <f>VLOOKUP(A356,URS確認!$E:$F,2,FALSE)</f>
        <v>會計變動數值設定查詢</v>
      </c>
      <c r="C356" s="313">
        <v>1</v>
      </c>
      <c r="D356" s="74" t="s">
        <v>1815</v>
      </c>
      <c r="E356" s="71">
        <v>44467</v>
      </c>
      <c r="F356" s="71">
        <v>44475</v>
      </c>
      <c r="G356" s="71">
        <v>44475</v>
      </c>
      <c r="H356" s="71">
        <v>44475</v>
      </c>
      <c r="I356" s="313" t="str">
        <f>VLOOKUP(A356,URS確認!E:I,5,FALSE)</f>
        <v>楊智誠</v>
      </c>
      <c r="L356" s="313" t="s">
        <v>1449</v>
      </c>
    </row>
    <row r="357" spans="1:13">
      <c r="A357" s="313" t="s">
        <v>629</v>
      </c>
      <c r="B357" s="69" t="str">
        <f>VLOOKUP(A357,URS確認!$E:$F,2,FALSE)</f>
        <v>會計變動數值設定</v>
      </c>
      <c r="C357" s="313">
        <v>1</v>
      </c>
      <c r="D357" s="74" t="s">
        <v>1816</v>
      </c>
      <c r="E357" s="71">
        <v>44467</v>
      </c>
      <c r="F357" s="71">
        <v>44475</v>
      </c>
      <c r="G357" s="71">
        <v>44475</v>
      </c>
      <c r="H357" s="71">
        <v>44475</v>
      </c>
      <c r="I357" s="313" t="str">
        <f>VLOOKUP(A357,URS確認!E:I,5,FALSE)</f>
        <v>楊智誠</v>
      </c>
      <c r="L357" s="313" t="s">
        <v>1449</v>
      </c>
    </row>
    <row r="358" spans="1:13" ht="66" hidden="1" customHeight="1">
      <c r="A358" s="313" t="s">
        <v>636</v>
      </c>
      <c r="B358" s="69" t="str">
        <f>VLOOKUP(A358,URS確認!$E:$F,2,FALSE)</f>
        <v>產出員工扣薪明細檔</v>
      </c>
      <c r="C358" s="313">
        <v>1</v>
      </c>
      <c r="D358" s="74" t="s">
        <v>1817</v>
      </c>
      <c r="E358" s="71">
        <v>44468</v>
      </c>
      <c r="F358" s="71">
        <v>44504</v>
      </c>
      <c r="G358" s="71">
        <v>44504</v>
      </c>
      <c r="I358" s="313" t="s">
        <v>203</v>
      </c>
      <c r="M358" s="313" t="s">
        <v>1465</v>
      </c>
    </row>
    <row r="359" spans="1:13" hidden="1">
      <c r="A359" s="313" t="s">
        <v>636</v>
      </c>
      <c r="B359" s="69" t="str">
        <f>VLOOKUP(A359,URS確認!$E:$F,2,FALSE)</f>
        <v>產出員工扣薪明細檔</v>
      </c>
      <c r="C359" s="313">
        <v>2</v>
      </c>
      <c r="D359" s="74" t="s">
        <v>1818</v>
      </c>
      <c r="E359" s="71">
        <v>44468</v>
      </c>
      <c r="F359" s="71">
        <v>44504</v>
      </c>
      <c r="G359" s="71">
        <v>44504</v>
      </c>
      <c r="I359" s="313" t="s">
        <v>203</v>
      </c>
      <c r="L359" s="313" t="s">
        <v>1449</v>
      </c>
    </row>
    <row r="360" spans="1:13" ht="49.5" hidden="1" customHeight="1">
      <c r="A360" s="313" t="s">
        <v>636</v>
      </c>
      <c r="B360" s="69" t="str">
        <f>VLOOKUP(A360,URS確認!$E:$F,2,FALSE)</f>
        <v>產出員工扣薪明細檔</v>
      </c>
      <c r="C360" s="313">
        <v>3</v>
      </c>
      <c r="D360" s="74" t="s">
        <v>1819</v>
      </c>
      <c r="E360" s="71">
        <v>44468</v>
      </c>
      <c r="F360" s="71">
        <v>44504</v>
      </c>
      <c r="G360" s="71">
        <v>44504</v>
      </c>
      <c r="I360" s="313" t="s">
        <v>203</v>
      </c>
      <c r="L360" s="313" t="s">
        <v>1449</v>
      </c>
    </row>
    <row r="361" spans="1:13" hidden="1">
      <c r="A361" s="313" t="s">
        <v>636</v>
      </c>
      <c r="B361" s="69" t="str">
        <f>VLOOKUP(A361,URS確認!$E:$F,2,FALSE)</f>
        <v>產出員工扣薪明細檔</v>
      </c>
      <c r="C361" s="313">
        <v>4</v>
      </c>
      <c r="D361" s="74" t="s">
        <v>1820</v>
      </c>
      <c r="E361" s="71">
        <v>44468</v>
      </c>
      <c r="F361" s="71">
        <v>44508</v>
      </c>
      <c r="G361" s="71">
        <v>44508</v>
      </c>
      <c r="I361" s="313" t="s">
        <v>203</v>
      </c>
      <c r="L361" s="313" t="s">
        <v>1449</v>
      </c>
    </row>
    <row r="362" spans="1:13" ht="33" hidden="1" customHeight="1">
      <c r="A362" s="313" t="s">
        <v>645</v>
      </c>
      <c r="B362" s="69" t="str">
        <f>VLOOKUP(A362,URS確認!$E:$F,2,FALSE)</f>
        <v xml:space="preserve">入帳檔上傳作業                       </v>
      </c>
      <c r="C362" s="313">
        <v>1</v>
      </c>
      <c r="D362" s="74" t="s">
        <v>1821</v>
      </c>
      <c r="E362" s="71">
        <v>44468</v>
      </c>
      <c r="F362" s="71">
        <v>44512</v>
      </c>
      <c r="G362" s="313"/>
      <c r="I362" s="313" t="s">
        <v>203</v>
      </c>
      <c r="L362" s="313" t="s">
        <v>1449</v>
      </c>
    </row>
    <row r="363" spans="1:13" ht="115.5" hidden="1" customHeight="1">
      <c r="A363" s="313" t="s">
        <v>645</v>
      </c>
      <c r="B363" s="69" t="str">
        <f>VLOOKUP(A363,URS確認!$E:$F,2,FALSE)</f>
        <v xml:space="preserve">入帳檔上傳作業                       </v>
      </c>
      <c r="C363" s="313">
        <v>2</v>
      </c>
      <c r="D363" s="74" t="s">
        <v>1822</v>
      </c>
      <c r="E363" s="71">
        <v>44468</v>
      </c>
      <c r="F363" s="71">
        <v>44469</v>
      </c>
      <c r="G363" s="71">
        <v>44469</v>
      </c>
      <c r="I363" s="313" t="s">
        <v>203</v>
      </c>
      <c r="L363" s="313" t="s">
        <v>1449</v>
      </c>
    </row>
    <row r="364" spans="1:13" ht="49.5" hidden="1" customHeight="1">
      <c r="A364" s="313" t="s">
        <v>643</v>
      </c>
      <c r="B364" s="69" t="str">
        <f>VLOOKUP(A364,URS確認!$E:$F,2,FALSE)</f>
        <v>產出員工扣薪媒體檔</v>
      </c>
      <c r="C364" s="313">
        <v>1</v>
      </c>
      <c r="D364" s="74" t="s">
        <v>1819</v>
      </c>
      <c r="E364" s="71">
        <v>44468</v>
      </c>
      <c r="F364" s="71">
        <v>44504</v>
      </c>
      <c r="G364" s="71">
        <v>44504</v>
      </c>
      <c r="I364" s="313" t="s">
        <v>203</v>
      </c>
      <c r="L364" s="313" t="s">
        <v>1449</v>
      </c>
    </row>
    <row r="365" spans="1:13" hidden="1">
      <c r="A365" s="313" t="s">
        <v>648</v>
      </c>
      <c r="B365" s="69" t="str">
        <f>VLOOKUP(A365,URS確認!$E:$F,2,FALSE)</f>
        <v>產生員工扣薪報表</v>
      </c>
      <c r="C365" s="313">
        <v>1</v>
      </c>
      <c r="D365" s="74" t="s">
        <v>1820</v>
      </c>
      <c r="E365" s="71">
        <v>44468</v>
      </c>
      <c r="F365" s="71">
        <v>44508</v>
      </c>
      <c r="G365" s="71">
        <v>44508</v>
      </c>
      <c r="I365" s="313" t="s">
        <v>203</v>
      </c>
      <c r="L365" s="313" t="s">
        <v>1449</v>
      </c>
    </row>
    <row r="366" spans="1:13" ht="49.5" hidden="1" customHeight="1">
      <c r="A366" s="313" t="s">
        <v>648</v>
      </c>
      <c r="B366" s="69" t="str">
        <f>VLOOKUP(A366,URS確認!$E:$F,2,FALSE)</f>
        <v>產生員工扣薪報表</v>
      </c>
      <c r="C366" s="313">
        <v>2</v>
      </c>
      <c r="D366" s="74" t="s">
        <v>1823</v>
      </c>
      <c r="E366" s="71">
        <v>44468</v>
      </c>
      <c r="F366" s="71">
        <v>44512</v>
      </c>
      <c r="G366" s="313"/>
      <c r="I366" s="313" t="s">
        <v>203</v>
      </c>
      <c r="M366" s="313" t="s">
        <v>1465</v>
      </c>
    </row>
    <row r="367" spans="1:13">
      <c r="A367" s="313" t="s">
        <v>794</v>
      </c>
      <c r="B367" s="69" t="str">
        <f>VLOOKUP(A367,URS確認!$E:$F,2,FALSE)</f>
        <v>日結明細查詢</v>
      </c>
      <c r="C367" s="313">
        <v>1</v>
      </c>
      <c r="D367" s="74" t="s">
        <v>1824</v>
      </c>
      <c r="E367" s="71">
        <v>44468</v>
      </c>
      <c r="F367" s="71">
        <v>44477</v>
      </c>
      <c r="G367" s="71">
        <v>44477</v>
      </c>
      <c r="H367" s="71">
        <v>44477</v>
      </c>
      <c r="I367" s="313" t="str">
        <f>VLOOKUP(A367,URS確認!E:I,5,FALSE)</f>
        <v>楊智誠</v>
      </c>
      <c r="L367" s="313" t="s">
        <v>1449</v>
      </c>
    </row>
    <row r="368" spans="1:13" ht="33" hidden="1" customHeight="1">
      <c r="B368" s="69" t="s">
        <v>1825</v>
      </c>
      <c r="C368" s="313">
        <v>1</v>
      </c>
      <c r="D368" s="74" t="s">
        <v>1826</v>
      </c>
      <c r="E368" s="71">
        <v>44468</v>
      </c>
      <c r="F368" s="71">
        <v>44469</v>
      </c>
      <c r="G368" s="71">
        <v>44469</v>
      </c>
      <c r="I368" s="313" t="s">
        <v>203</v>
      </c>
      <c r="L368" s="313" t="s">
        <v>1449</v>
      </c>
    </row>
    <row r="369" spans="1:13" ht="49.5" hidden="1" customHeight="1">
      <c r="B369" s="69" t="s">
        <v>1825</v>
      </c>
      <c r="C369" s="313">
        <v>2</v>
      </c>
      <c r="D369" s="74" t="s">
        <v>1827</v>
      </c>
      <c r="E369" s="71">
        <v>44468</v>
      </c>
      <c r="F369" s="71">
        <v>44469</v>
      </c>
      <c r="G369" s="71">
        <v>44469</v>
      </c>
      <c r="I369" s="313" t="s">
        <v>203</v>
      </c>
      <c r="L369" s="313" t="s">
        <v>1449</v>
      </c>
    </row>
    <row r="370" spans="1:13" hidden="1">
      <c r="A370" s="313" t="s">
        <v>645</v>
      </c>
      <c r="B370" s="69" t="str">
        <f>VLOOKUP(A370,URS確認!$E:$F,2,FALSE)</f>
        <v xml:space="preserve">入帳檔上傳作業                       </v>
      </c>
      <c r="C370" s="313">
        <v>1</v>
      </c>
      <c r="D370" s="74" t="s">
        <v>1828</v>
      </c>
      <c r="E370" s="71">
        <v>44470</v>
      </c>
      <c r="F370" s="71">
        <v>44504</v>
      </c>
      <c r="G370" s="71">
        <v>44504</v>
      </c>
      <c r="I370" s="313" t="s">
        <v>203</v>
      </c>
    </row>
    <row r="371" spans="1:13" hidden="1">
      <c r="A371" s="313" t="s">
        <v>381</v>
      </c>
      <c r="B371" s="69" t="str">
        <f>VLOOKUP(A371,URS確認!$E:$F,2,FALSE)</f>
        <v xml:space="preserve">應處理清單      </v>
      </c>
      <c r="C371" s="313">
        <v>1</v>
      </c>
      <c r="D371" s="74" t="s">
        <v>1829</v>
      </c>
      <c r="E371" s="71">
        <v>44470</v>
      </c>
      <c r="F371" s="313"/>
      <c r="G371" s="313"/>
      <c r="I371" s="313" t="str">
        <f>VLOOKUP(A371,URS確認!E:I,5,FALSE)</f>
        <v>余家興</v>
      </c>
      <c r="L371" s="313" t="s">
        <v>1449</v>
      </c>
    </row>
    <row r="372" spans="1:13" hidden="1">
      <c r="A372" s="313" t="s">
        <v>381</v>
      </c>
      <c r="B372" s="69" t="str">
        <f>VLOOKUP(A372,URS確認!$E:$F,2,FALSE)</f>
        <v xml:space="preserve">應處理清單      </v>
      </c>
      <c r="C372" s="313">
        <v>2</v>
      </c>
      <c r="D372" s="74" t="s">
        <v>1830</v>
      </c>
      <c r="E372" s="71">
        <v>44470</v>
      </c>
      <c r="F372" s="313"/>
      <c r="G372" s="313"/>
      <c r="I372" s="313" t="str">
        <f>VLOOKUP(A372,URS確認!E:I,5,FALSE)</f>
        <v>余家興</v>
      </c>
      <c r="L372" s="313" t="s">
        <v>1449</v>
      </c>
    </row>
    <row r="373" spans="1:13" hidden="1">
      <c r="A373" s="313" t="s">
        <v>736</v>
      </c>
      <c r="B373" s="69" t="str">
        <f>VLOOKUP(A373,URS確認!$E:$F,2,FALSE)</f>
        <v xml:space="preserve">法拍費用明細資料查詢              </v>
      </c>
      <c r="C373" s="313">
        <v>1</v>
      </c>
      <c r="D373" s="74" t="s">
        <v>1831</v>
      </c>
      <c r="E373" s="71">
        <v>44475</v>
      </c>
      <c r="F373" s="71">
        <v>44475</v>
      </c>
      <c r="G373" s="71">
        <v>44475</v>
      </c>
      <c r="H373" s="71">
        <v>44475</v>
      </c>
      <c r="I373" s="313" t="str">
        <f>VLOOKUP(A373,URS確認!E:I,5,FALSE)</f>
        <v>陳昱衡</v>
      </c>
      <c r="L373" s="313" t="s">
        <v>1449</v>
      </c>
    </row>
    <row r="374" spans="1:13" ht="33" hidden="1" customHeight="1">
      <c r="A374" s="313" t="s">
        <v>712</v>
      </c>
      <c r="B374" s="69" t="str">
        <f>VLOOKUP(A374,URS確認!$E:$F,2,FALSE)</f>
        <v xml:space="preserve">約定部分償還登錄         </v>
      </c>
      <c r="C374" s="313">
        <v>1</v>
      </c>
      <c r="D374" s="74" t="s">
        <v>1832</v>
      </c>
      <c r="E374" s="71">
        <v>44481</v>
      </c>
      <c r="F374" s="71">
        <v>44496</v>
      </c>
      <c r="G374" s="71">
        <v>44496</v>
      </c>
      <c r="H374" s="71">
        <v>44510</v>
      </c>
      <c r="I374" s="313" t="str">
        <f>VLOOKUP(A374,URS確認!E:I,5,FALSE)</f>
        <v>余家興</v>
      </c>
      <c r="M374" s="313" t="s">
        <v>1465</v>
      </c>
    </row>
    <row r="375" spans="1:13" hidden="1">
      <c r="A375" s="313" t="s">
        <v>712</v>
      </c>
      <c r="B375" s="69" t="str">
        <f>VLOOKUP(A375,URS確認!$E:$F,2,FALSE)</f>
        <v xml:space="preserve">約定部分償還登錄         </v>
      </c>
      <c r="C375" s="313">
        <v>2</v>
      </c>
      <c r="D375" s="68" t="s">
        <v>1833</v>
      </c>
      <c r="E375" s="71">
        <v>44481</v>
      </c>
      <c r="F375" s="71">
        <v>44496</v>
      </c>
      <c r="G375" s="71">
        <v>44496</v>
      </c>
      <c r="H375" s="71">
        <v>44510</v>
      </c>
      <c r="I375" s="313" t="str">
        <f>VLOOKUP(A375,URS確認!E:I,5,FALSE)</f>
        <v>余家興</v>
      </c>
      <c r="M375" s="313" t="s">
        <v>1465</v>
      </c>
    </row>
    <row r="376" spans="1:13" ht="33" hidden="1" customHeight="1">
      <c r="A376" s="313" t="s">
        <v>712</v>
      </c>
      <c r="B376" s="69" t="str">
        <f>VLOOKUP(A376,URS確認!$E:$F,2,FALSE)</f>
        <v xml:space="preserve">約定部分償還登錄         </v>
      </c>
      <c r="C376" s="313">
        <v>3</v>
      </c>
      <c r="D376" s="220" t="s">
        <v>1834</v>
      </c>
      <c r="E376" s="71">
        <v>44481</v>
      </c>
      <c r="F376" s="71">
        <v>44510</v>
      </c>
      <c r="G376" s="71">
        <v>44510</v>
      </c>
      <c r="H376" s="71">
        <v>44510</v>
      </c>
      <c r="I376" s="313" t="str">
        <f>VLOOKUP(A376,URS確認!E:I,5,FALSE)</f>
        <v>余家興</v>
      </c>
      <c r="M376" s="313" t="s">
        <v>1465</v>
      </c>
    </row>
    <row r="377" spans="1:13" ht="264" hidden="1" customHeight="1">
      <c r="A377" s="313" t="s">
        <v>712</v>
      </c>
      <c r="B377" s="69" t="str">
        <f>VLOOKUP(A377,URS確認!$E:$F,2,FALSE)</f>
        <v xml:space="preserve">約定部分償還登錄         </v>
      </c>
      <c r="C377" s="313">
        <v>4</v>
      </c>
      <c r="D377" s="220" t="s">
        <v>1835</v>
      </c>
      <c r="E377" s="71">
        <v>44481</v>
      </c>
      <c r="F377" s="71">
        <v>44510</v>
      </c>
      <c r="G377" s="71">
        <v>44510</v>
      </c>
      <c r="H377" s="71">
        <v>44510</v>
      </c>
      <c r="I377" s="313" t="str">
        <f>VLOOKUP(A377,URS確認!E:I,5,FALSE)</f>
        <v>余家興</v>
      </c>
      <c r="M377" s="313" t="s">
        <v>1465</v>
      </c>
    </row>
    <row r="378" spans="1:13" ht="66" hidden="1" customHeight="1">
      <c r="A378" s="313" t="s">
        <v>654</v>
      </c>
      <c r="B378" s="69" t="str">
        <f>VLOOKUP(A378,URS確認!$E:$F,2,FALSE)</f>
        <v xml:space="preserve">整批入帳作業                         </v>
      </c>
      <c r="C378" s="313">
        <v>1</v>
      </c>
      <c r="D378" s="220" t="s">
        <v>1836</v>
      </c>
      <c r="E378" s="71">
        <v>44481</v>
      </c>
      <c r="F378" s="71">
        <v>44512</v>
      </c>
      <c r="G378" s="313"/>
      <c r="I378" s="313" t="s">
        <v>203</v>
      </c>
      <c r="M378" s="313" t="s">
        <v>1465</v>
      </c>
    </row>
    <row r="379" spans="1:13" hidden="1">
      <c r="A379" s="313" t="s">
        <v>654</v>
      </c>
      <c r="B379" s="69" t="str">
        <f>VLOOKUP(A379,URS確認!$E:$F,2,FALSE)</f>
        <v xml:space="preserve">整批入帳作業                         </v>
      </c>
      <c r="C379" s="313">
        <v>2</v>
      </c>
      <c r="D379" s="220" t="s">
        <v>1837</v>
      </c>
      <c r="E379" s="71">
        <v>44481</v>
      </c>
      <c r="F379" s="71">
        <v>44504</v>
      </c>
      <c r="G379" s="71">
        <v>44504</v>
      </c>
      <c r="I379" s="313" t="s">
        <v>203</v>
      </c>
      <c r="L379" s="313" t="s">
        <v>1449</v>
      </c>
    </row>
    <row r="380" spans="1:13" hidden="1">
      <c r="A380" s="313" t="s">
        <v>654</v>
      </c>
      <c r="B380" s="69" t="str">
        <f>VLOOKUP(A380,URS確認!$E:$F,2,FALSE)</f>
        <v xml:space="preserve">整批入帳作業                         </v>
      </c>
      <c r="C380" s="313">
        <v>3</v>
      </c>
      <c r="D380" s="220" t="s">
        <v>1838</v>
      </c>
      <c r="E380" s="71">
        <v>44481</v>
      </c>
      <c r="F380" s="71">
        <v>44504</v>
      </c>
      <c r="G380" s="71">
        <v>44504</v>
      </c>
      <c r="I380" s="313" t="s">
        <v>203</v>
      </c>
      <c r="L380" s="313" t="s">
        <v>1449</v>
      </c>
    </row>
    <row r="381" spans="1:13" ht="33" hidden="1" customHeight="1">
      <c r="A381" s="313" t="s">
        <v>679</v>
      </c>
      <c r="B381" s="69" t="str">
        <f>VLOOKUP(A381,URS確認!$E:$F,2,FALSE)</f>
        <v xml:space="preserve">其他還款來源建檔                     </v>
      </c>
      <c r="C381" s="313">
        <v>1</v>
      </c>
      <c r="D381" s="220" t="s">
        <v>1839</v>
      </c>
      <c r="E381" s="71">
        <v>44481</v>
      </c>
      <c r="F381" s="71">
        <v>44504</v>
      </c>
      <c r="G381" s="71">
        <v>44504</v>
      </c>
      <c r="I381" s="313" t="s">
        <v>203</v>
      </c>
      <c r="L381" s="313" t="s">
        <v>1449</v>
      </c>
    </row>
    <row r="382" spans="1:13" hidden="1">
      <c r="A382" s="313" t="s">
        <v>683</v>
      </c>
      <c r="B382" s="69" t="str">
        <f>VLOOKUP(A382,URS確認!$E:$F,2,FALSE)</f>
        <v>匯款轉帳-明細維護</v>
      </c>
      <c r="C382" s="313">
        <v>1</v>
      </c>
      <c r="D382" s="220" t="s">
        <v>1840</v>
      </c>
      <c r="E382" s="71">
        <v>44481</v>
      </c>
      <c r="F382" s="71">
        <v>44504</v>
      </c>
      <c r="G382" s="71">
        <v>44504</v>
      </c>
      <c r="I382" s="313" t="s">
        <v>203</v>
      </c>
      <c r="L382" s="313" t="s">
        <v>1449</v>
      </c>
    </row>
    <row r="383" spans="1:13" hidden="1">
      <c r="A383" s="313" t="s">
        <v>683</v>
      </c>
      <c r="B383" s="69" t="str">
        <f>VLOOKUP(A383,URS確認!$E:$F,2,FALSE)</f>
        <v>匯款轉帳-明細維護</v>
      </c>
      <c r="C383" s="313">
        <v>2</v>
      </c>
      <c r="D383" s="220" t="s">
        <v>1841</v>
      </c>
      <c r="E383" s="71">
        <v>44481</v>
      </c>
      <c r="F383" s="71">
        <v>44504</v>
      </c>
      <c r="G383" s="71">
        <v>44504</v>
      </c>
      <c r="I383" s="313" t="s">
        <v>203</v>
      </c>
      <c r="L383" s="313" t="s">
        <v>1449</v>
      </c>
    </row>
    <row r="384" spans="1:13" hidden="1">
      <c r="A384" s="313" t="s">
        <v>661</v>
      </c>
      <c r="B384" s="69" t="str">
        <f>VLOOKUP(A384,URS確認!$E:$F,2,FALSE)</f>
        <v>整批入帳明細查詢</v>
      </c>
      <c r="C384" s="313">
        <v>1</v>
      </c>
      <c r="D384" s="269" t="s">
        <v>1842</v>
      </c>
      <c r="E384" s="71">
        <v>44481</v>
      </c>
      <c r="F384" s="71">
        <v>44512</v>
      </c>
      <c r="G384" s="71">
        <v>44508</v>
      </c>
      <c r="I384" s="313" t="s">
        <v>203</v>
      </c>
      <c r="L384" s="313" t="s">
        <v>1449</v>
      </c>
    </row>
    <row r="385" spans="1:13" hidden="1">
      <c r="A385" s="313" t="s">
        <v>661</v>
      </c>
      <c r="B385" s="69" t="str">
        <f>VLOOKUP(A385,URS確認!$E:$F,2,FALSE)</f>
        <v>整批入帳明細查詢</v>
      </c>
      <c r="C385" s="313">
        <v>2</v>
      </c>
      <c r="D385" s="220" t="s">
        <v>1843</v>
      </c>
      <c r="E385" s="71">
        <v>44481</v>
      </c>
      <c r="F385" s="71">
        <v>44504</v>
      </c>
      <c r="G385" s="71">
        <v>44504</v>
      </c>
      <c r="I385" s="313" t="s">
        <v>203</v>
      </c>
      <c r="L385" s="313" t="s">
        <v>1449</v>
      </c>
    </row>
    <row r="386" spans="1:13" hidden="1">
      <c r="A386" s="313" t="s">
        <v>687</v>
      </c>
      <c r="B386" s="69" t="str">
        <f>VLOOKUP(A386,URS確認!$E:$F,2,FALSE)</f>
        <v xml:space="preserve">產生放款本息攤還表暨繳息通知單       </v>
      </c>
      <c r="C386" s="313">
        <v>1</v>
      </c>
      <c r="D386" s="220" t="s">
        <v>1844</v>
      </c>
      <c r="E386" s="71">
        <v>44481</v>
      </c>
      <c r="F386" s="71" t="s">
        <v>1845</v>
      </c>
      <c r="G386" s="313"/>
      <c r="I386" s="313" t="s">
        <v>1846</v>
      </c>
      <c r="L386" s="313" t="s">
        <v>1449</v>
      </c>
    </row>
    <row r="387" spans="1:13" hidden="1">
      <c r="A387" s="313" t="s">
        <v>687</v>
      </c>
      <c r="B387" s="69" t="str">
        <f>VLOOKUP(A387,URS確認!$E:$F,2,FALSE)</f>
        <v xml:space="preserve">產生放款本息攤還表暨繳息通知單       </v>
      </c>
      <c r="C387" s="313">
        <v>2</v>
      </c>
      <c r="D387" s="68" t="s">
        <v>1847</v>
      </c>
      <c r="E387" s="71">
        <v>44481</v>
      </c>
      <c r="F387" s="71" t="s">
        <v>1845</v>
      </c>
      <c r="G387" s="313"/>
      <c r="I387" s="313" t="s">
        <v>1846</v>
      </c>
      <c r="M387" s="313" t="s">
        <v>1465</v>
      </c>
    </row>
    <row r="388" spans="1:13" hidden="1">
      <c r="A388" s="313" t="s">
        <v>689</v>
      </c>
      <c r="B388" s="69" t="str">
        <f>VLOOKUP(A388,URS確認!$E:$F,2,FALSE)</f>
        <v xml:space="preserve">產生滯繳通知單                       </v>
      </c>
      <c r="C388" s="313">
        <v>1</v>
      </c>
      <c r="D388" s="220" t="s">
        <v>1844</v>
      </c>
      <c r="E388" s="71">
        <v>44481</v>
      </c>
      <c r="F388" s="71" t="s">
        <v>1845</v>
      </c>
      <c r="G388" s="313"/>
      <c r="I388" s="313" t="s">
        <v>1846</v>
      </c>
      <c r="L388" s="313" t="s">
        <v>1449</v>
      </c>
    </row>
    <row r="389" spans="1:13" hidden="1">
      <c r="A389" s="313" t="s">
        <v>689</v>
      </c>
      <c r="B389" s="69" t="str">
        <f>VLOOKUP(A389,URS確認!$E:$F,2,FALSE)</f>
        <v xml:space="preserve">產生滯繳通知單                       </v>
      </c>
      <c r="C389" s="313">
        <v>2</v>
      </c>
      <c r="D389" s="220" t="s">
        <v>1847</v>
      </c>
      <c r="E389" s="71">
        <v>44481</v>
      </c>
      <c r="F389" s="71" t="s">
        <v>1845</v>
      </c>
      <c r="G389" s="313"/>
      <c r="I389" s="313" t="s">
        <v>1846</v>
      </c>
      <c r="M389" s="313" t="s">
        <v>1465</v>
      </c>
    </row>
    <row r="390" spans="1:13" ht="49.5" hidden="1" customHeight="1">
      <c r="B390" s="69" t="s">
        <v>1848</v>
      </c>
      <c r="C390" s="313">
        <v>1</v>
      </c>
      <c r="D390" s="220" t="s">
        <v>1849</v>
      </c>
      <c r="E390" s="71">
        <v>44481</v>
      </c>
      <c r="F390" s="71">
        <v>44512</v>
      </c>
      <c r="G390" s="313"/>
      <c r="I390" s="313" t="s">
        <v>203</v>
      </c>
      <c r="L390" s="313" t="s">
        <v>1850</v>
      </c>
    </row>
    <row r="391" spans="1:13" ht="66" hidden="1" customHeight="1">
      <c r="B391" s="69" t="s">
        <v>1848</v>
      </c>
      <c r="C391" s="313">
        <v>2</v>
      </c>
      <c r="D391" s="220" t="s">
        <v>1851</v>
      </c>
      <c r="E391" s="71">
        <v>44481</v>
      </c>
      <c r="F391" s="313" t="s">
        <v>1852</v>
      </c>
      <c r="G391" s="313"/>
      <c r="I391" s="313" t="s">
        <v>203</v>
      </c>
      <c r="L391" s="313" t="s">
        <v>1449</v>
      </c>
    </row>
    <row r="392" spans="1:13" ht="33" hidden="1" customHeight="1">
      <c r="B392" s="69" t="s">
        <v>1848</v>
      </c>
      <c r="C392" s="313">
        <v>3</v>
      </c>
      <c r="D392" s="220" t="s">
        <v>1853</v>
      </c>
      <c r="E392" s="71">
        <v>44481</v>
      </c>
      <c r="F392" s="313" t="s">
        <v>1852</v>
      </c>
      <c r="G392" s="313"/>
      <c r="I392" s="313" t="s">
        <v>203</v>
      </c>
      <c r="L392" s="313" t="s">
        <v>1449</v>
      </c>
    </row>
    <row r="393" spans="1:13" ht="33" hidden="1" customHeight="1">
      <c r="B393" s="69" t="s">
        <v>1854</v>
      </c>
      <c r="C393" s="313">
        <v>1</v>
      </c>
      <c r="D393" s="220" t="s">
        <v>1855</v>
      </c>
      <c r="E393" s="71">
        <v>44481</v>
      </c>
      <c r="F393" s="313" t="s">
        <v>1759</v>
      </c>
      <c r="G393" s="313"/>
      <c r="I393" s="313" t="s">
        <v>203</v>
      </c>
      <c r="L393" s="313" t="s">
        <v>1449</v>
      </c>
    </row>
    <row r="394" spans="1:13" hidden="1">
      <c r="A394" s="313" t="s">
        <v>712</v>
      </c>
      <c r="B394" s="69" t="str">
        <f>VLOOKUP(A394,URS確認!$E:$F,2,FALSE)</f>
        <v xml:space="preserve">約定部分償還登錄         </v>
      </c>
      <c r="C394" s="313">
        <v>1</v>
      </c>
      <c r="D394" s="220" t="s">
        <v>1856</v>
      </c>
      <c r="E394" s="71">
        <v>44482</v>
      </c>
      <c r="F394" s="71">
        <v>44496</v>
      </c>
      <c r="G394" s="71">
        <v>44496</v>
      </c>
      <c r="H394" s="71">
        <v>44510</v>
      </c>
      <c r="I394" s="313" t="str">
        <f>VLOOKUP(A394,URS確認!E:I,5,FALSE)</f>
        <v>余家興</v>
      </c>
      <c r="L394" s="313" t="s">
        <v>1449</v>
      </c>
    </row>
    <row r="395" spans="1:13" ht="33" hidden="1" customHeight="1">
      <c r="A395" s="313" t="s">
        <v>712</v>
      </c>
      <c r="B395" s="69" t="str">
        <f>VLOOKUP(A395,URS確認!$E:$F,2,FALSE)</f>
        <v xml:space="preserve">約定部分償還登錄         </v>
      </c>
      <c r="C395" s="313">
        <v>2</v>
      </c>
      <c r="D395" s="220" t="s">
        <v>1857</v>
      </c>
      <c r="E395" s="71">
        <v>44482</v>
      </c>
      <c r="F395" s="71">
        <v>44496</v>
      </c>
      <c r="G395" s="71">
        <v>44496</v>
      </c>
      <c r="H395" s="71">
        <v>44510</v>
      </c>
      <c r="I395" s="313" t="str">
        <f>VLOOKUP(A395,URS確認!E:I,5,FALSE)</f>
        <v>余家興</v>
      </c>
      <c r="L395" s="313" t="s">
        <v>1449</v>
      </c>
    </row>
    <row r="396" spans="1:13" hidden="1">
      <c r="A396" s="313" t="s">
        <v>712</v>
      </c>
      <c r="B396" s="69" t="str">
        <f>VLOOKUP(A396,URS確認!$E:$F,2,FALSE)</f>
        <v xml:space="preserve">約定部分償還登錄         </v>
      </c>
      <c r="C396" s="313">
        <v>3</v>
      </c>
      <c r="D396" s="220" t="s">
        <v>1858</v>
      </c>
      <c r="E396" s="71">
        <v>44482</v>
      </c>
      <c r="F396" s="71">
        <v>44510</v>
      </c>
      <c r="G396" s="71">
        <v>44510</v>
      </c>
      <c r="H396" s="71">
        <v>44510</v>
      </c>
      <c r="I396" s="313" t="str">
        <f>VLOOKUP(A396,URS確認!E:I,5,FALSE)</f>
        <v>余家興</v>
      </c>
      <c r="M396" s="313" t="s">
        <v>1465</v>
      </c>
    </row>
    <row r="397" spans="1:13" hidden="1">
      <c r="A397" s="313" t="s">
        <v>712</v>
      </c>
      <c r="B397" s="69" t="str">
        <f>VLOOKUP(A397,URS確認!$E:$F,2,FALSE)</f>
        <v xml:space="preserve">約定部分償還登錄         </v>
      </c>
      <c r="C397" s="313">
        <v>4</v>
      </c>
      <c r="D397" s="220" t="s">
        <v>1859</v>
      </c>
      <c r="E397" s="71">
        <v>44482</v>
      </c>
      <c r="F397" s="71">
        <v>44510</v>
      </c>
      <c r="G397" s="71">
        <v>44510</v>
      </c>
      <c r="H397" s="71">
        <v>44510</v>
      </c>
      <c r="I397" s="313" t="str">
        <f>VLOOKUP(A397,URS確認!E:I,5,FALSE)</f>
        <v>余家興</v>
      </c>
      <c r="M397" s="313" t="s">
        <v>1465</v>
      </c>
    </row>
    <row r="398" spans="1:13" hidden="1">
      <c r="A398" s="313" t="s">
        <v>712</v>
      </c>
      <c r="B398" s="69" t="str">
        <f>VLOOKUP(A398,URS確認!$E:$F,2,FALSE)</f>
        <v xml:space="preserve">約定部分償還登錄         </v>
      </c>
      <c r="C398" s="313">
        <v>5</v>
      </c>
      <c r="D398" s="220" t="s">
        <v>1860</v>
      </c>
      <c r="E398" s="71">
        <v>44482</v>
      </c>
      <c r="F398" s="71">
        <v>44510</v>
      </c>
      <c r="G398" s="71">
        <v>44510</v>
      </c>
      <c r="H398" s="71">
        <v>44510</v>
      </c>
      <c r="I398" s="313" t="str">
        <f>VLOOKUP(A398,URS確認!E:I,5,FALSE)</f>
        <v>余家興</v>
      </c>
      <c r="M398" s="313" t="s">
        <v>1465</v>
      </c>
    </row>
    <row r="399" spans="1:13" ht="33" hidden="1" customHeight="1">
      <c r="A399" s="313" t="s">
        <v>712</v>
      </c>
      <c r="B399" s="69" t="str">
        <f>VLOOKUP(A399,URS確認!$E:$F,2,FALSE)</f>
        <v xml:space="preserve">約定部分償還登錄         </v>
      </c>
      <c r="C399" s="313">
        <v>6</v>
      </c>
      <c r="D399" s="220" t="s">
        <v>1861</v>
      </c>
      <c r="E399" s="71">
        <v>44482</v>
      </c>
      <c r="F399" s="71">
        <v>44496</v>
      </c>
      <c r="G399" s="71">
        <v>44496</v>
      </c>
      <c r="H399" s="71">
        <v>44510</v>
      </c>
      <c r="I399" s="313" t="str">
        <f>VLOOKUP(A399,URS確認!E:I,5,FALSE)</f>
        <v>余家興</v>
      </c>
      <c r="L399" s="313" t="s">
        <v>1449</v>
      </c>
    </row>
    <row r="400" spans="1:13" hidden="1">
      <c r="A400" s="313" t="s">
        <v>712</v>
      </c>
      <c r="B400" s="69" t="str">
        <f>VLOOKUP(A400,URS確認!$E:$F,2,FALSE)</f>
        <v xml:space="preserve">約定部分償還登錄         </v>
      </c>
      <c r="C400" s="313">
        <v>7</v>
      </c>
      <c r="D400" s="220" t="s">
        <v>1862</v>
      </c>
      <c r="E400" s="71">
        <v>44482</v>
      </c>
      <c r="F400" s="71">
        <v>44496</v>
      </c>
      <c r="G400" s="71">
        <v>44496</v>
      </c>
      <c r="H400" s="71">
        <v>44510</v>
      </c>
      <c r="I400" s="313" t="str">
        <f>VLOOKUP(A400,URS確認!E:I,5,FALSE)</f>
        <v>余家興</v>
      </c>
      <c r="L400" s="313" t="s">
        <v>1449</v>
      </c>
    </row>
    <row r="401" spans="1:13">
      <c r="A401" s="313" t="s">
        <v>963</v>
      </c>
      <c r="B401" s="69" t="str">
        <f>VLOOKUP(A401,URS確認!$E:$F,2,FALSE)</f>
        <v>疑似洗錢交易訪談記錄維護</v>
      </c>
      <c r="C401" s="313">
        <v>1</v>
      </c>
      <c r="D401" s="220" t="s">
        <v>1863</v>
      </c>
      <c r="E401" s="71">
        <v>44482</v>
      </c>
      <c r="F401" s="71">
        <v>44494</v>
      </c>
      <c r="G401" s="71">
        <v>44494</v>
      </c>
      <c r="H401" s="71">
        <v>44494</v>
      </c>
      <c r="I401" s="313" t="str">
        <f>VLOOKUP(A401,URS確認!E:I,5,FALSE)</f>
        <v>楊智誠</v>
      </c>
      <c r="L401" s="313" t="s">
        <v>1449</v>
      </c>
    </row>
    <row r="402" spans="1:13" ht="49.5" customHeight="1">
      <c r="A402" s="313" t="s">
        <v>963</v>
      </c>
      <c r="B402" s="69" t="str">
        <f>VLOOKUP(A402,URS確認!$E:$F,2,FALSE)</f>
        <v>疑似洗錢交易訪談記錄維護</v>
      </c>
      <c r="C402" s="313">
        <v>2</v>
      </c>
      <c r="D402" s="220" t="s">
        <v>1864</v>
      </c>
      <c r="E402" s="71">
        <v>44482</v>
      </c>
      <c r="F402" s="71">
        <v>44494</v>
      </c>
      <c r="G402" s="71">
        <v>44494</v>
      </c>
      <c r="H402" s="71">
        <v>44494</v>
      </c>
      <c r="I402" s="313" t="str">
        <f>VLOOKUP(A402,URS確認!E:I,5,FALSE)</f>
        <v>楊智誠</v>
      </c>
      <c r="L402" s="313" t="s">
        <v>1449</v>
      </c>
    </row>
    <row r="403" spans="1:13" ht="49.5" customHeight="1">
      <c r="A403" s="313" t="s">
        <v>963</v>
      </c>
      <c r="B403" s="69" t="str">
        <f>VLOOKUP(A403,URS確認!$E:$F,2,FALSE)</f>
        <v>疑似洗錢交易訪談記錄維護</v>
      </c>
      <c r="C403" s="313">
        <v>3</v>
      </c>
      <c r="D403" s="220" t="s">
        <v>1865</v>
      </c>
      <c r="E403" s="71">
        <v>44482</v>
      </c>
      <c r="F403" s="71">
        <v>44494</v>
      </c>
      <c r="G403" s="71">
        <v>44494</v>
      </c>
      <c r="H403" s="71">
        <v>44494</v>
      </c>
      <c r="I403" s="313" t="str">
        <f>VLOOKUP(A403,URS確認!E:I,5,FALSE)</f>
        <v>楊智誠</v>
      </c>
      <c r="L403" s="313" t="s">
        <v>1449</v>
      </c>
    </row>
    <row r="404" spans="1:13" hidden="1">
      <c r="A404" s="313" t="s">
        <v>707</v>
      </c>
      <c r="B404" s="69" t="str">
        <f>VLOOKUP(A404,URS確認!$E:$F,2,FALSE)</f>
        <v xml:space="preserve">變更期款試算             </v>
      </c>
      <c r="C404" s="313">
        <v>1</v>
      </c>
      <c r="D404" s="220" t="s">
        <v>1866</v>
      </c>
      <c r="E404" s="71">
        <v>44482</v>
      </c>
      <c r="F404" s="71">
        <v>44510</v>
      </c>
      <c r="G404" s="71">
        <v>44510</v>
      </c>
      <c r="H404" s="71">
        <v>44510</v>
      </c>
      <c r="I404" s="313" t="str">
        <f>VLOOKUP(A404,URS確認!E:I,5,FALSE)</f>
        <v>余家興</v>
      </c>
      <c r="L404" s="313" t="s">
        <v>1449</v>
      </c>
    </row>
    <row r="405" spans="1:13" ht="49.5" hidden="1" customHeight="1">
      <c r="A405" s="313" t="s">
        <v>707</v>
      </c>
      <c r="B405" s="69" t="str">
        <f>VLOOKUP(A405,URS確認!$E:$F,2,FALSE)</f>
        <v xml:space="preserve">變更期款試算             </v>
      </c>
      <c r="C405" s="313">
        <v>2</v>
      </c>
      <c r="D405" s="220" t="s">
        <v>1867</v>
      </c>
      <c r="E405" s="71">
        <v>44482</v>
      </c>
      <c r="F405" s="71">
        <v>44510</v>
      </c>
      <c r="G405" s="71">
        <v>44510</v>
      </c>
      <c r="H405" s="71">
        <v>44510</v>
      </c>
      <c r="I405" s="313" t="str">
        <f>VLOOKUP(A405,URS確認!E:I,5,FALSE)</f>
        <v>余家興</v>
      </c>
      <c r="M405" s="313" t="s">
        <v>1465</v>
      </c>
    </row>
    <row r="406" spans="1:13" hidden="1">
      <c r="A406" s="313" t="s">
        <v>717</v>
      </c>
      <c r="B406" s="69" t="str">
        <f>VLOOKUP(A406,URS確認!$E:$F,2,FALSE)</f>
        <v>暫收款銷帳</v>
      </c>
      <c r="C406" s="313">
        <v>1</v>
      </c>
      <c r="D406" s="220" t="s">
        <v>1868</v>
      </c>
      <c r="E406" s="71">
        <v>44482</v>
      </c>
      <c r="F406" s="71">
        <v>44510</v>
      </c>
      <c r="G406" s="71">
        <v>44510</v>
      </c>
      <c r="H406" s="71">
        <v>44510</v>
      </c>
      <c r="I406" s="313" t="str">
        <f>VLOOKUP(A406,URS確認!E:I,5,FALSE)</f>
        <v>余家興</v>
      </c>
      <c r="L406" s="313" t="s">
        <v>1449</v>
      </c>
    </row>
    <row r="407" spans="1:13" ht="34.049999999999997" hidden="1" customHeight="1">
      <c r="B407" s="69" t="s">
        <v>1869</v>
      </c>
      <c r="C407" s="313">
        <v>1</v>
      </c>
      <c r="D407" s="220" t="s">
        <v>1870</v>
      </c>
      <c r="E407" s="71">
        <v>44483</v>
      </c>
      <c r="F407" s="313"/>
      <c r="G407" s="313"/>
      <c r="I407" s="313" t="s">
        <v>148</v>
      </c>
      <c r="L407" s="313" t="s">
        <v>1519</v>
      </c>
    </row>
    <row r="408" spans="1:13" hidden="1">
      <c r="B408" s="69" t="s">
        <v>1869</v>
      </c>
      <c r="C408" s="313">
        <v>2</v>
      </c>
      <c r="D408" s="220" t="s">
        <v>1871</v>
      </c>
      <c r="E408" s="71">
        <v>44483</v>
      </c>
      <c r="F408" s="313"/>
      <c r="G408" s="313"/>
      <c r="I408" s="313" t="s">
        <v>148</v>
      </c>
      <c r="L408" s="313" t="s">
        <v>1519</v>
      </c>
    </row>
    <row r="409" spans="1:13" hidden="1">
      <c r="B409" s="69" t="s">
        <v>1869</v>
      </c>
      <c r="C409" s="313">
        <v>3</v>
      </c>
      <c r="D409" s="220" t="s">
        <v>1872</v>
      </c>
      <c r="E409" s="71">
        <v>44483</v>
      </c>
      <c r="F409" s="313"/>
      <c r="G409" s="313"/>
      <c r="I409" s="313" t="s">
        <v>148</v>
      </c>
      <c r="L409" s="313" t="s">
        <v>1519</v>
      </c>
    </row>
    <row r="410" spans="1:13" ht="33" hidden="1" customHeight="1">
      <c r="B410" s="69" t="s">
        <v>1869</v>
      </c>
      <c r="C410" s="313">
        <v>4</v>
      </c>
      <c r="D410" s="220" t="s">
        <v>1873</v>
      </c>
      <c r="E410" s="71">
        <v>44483</v>
      </c>
      <c r="F410" s="313"/>
      <c r="G410" s="313"/>
      <c r="I410" s="313" t="s">
        <v>148</v>
      </c>
    </row>
    <row r="411" spans="1:13" hidden="1">
      <c r="B411" s="69" t="s">
        <v>1869</v>
      </c>
      <c r="C411" s="313">
        <v>5</v>
      </c>
      <c r="D411" s="220" t="s">
        <v>1874</v>
      </c>
      <c r="E411" s="71">
        <v>44483</v>
      </c>
      <c r="F411" s="313"/>
      <c r="G411" s="313"/>
      <c r="I411" s="313" t="s">
        <v>148</v>
      </c>
    </row>
    <row r="412" spans="1:13" hidden="1">
      <c r="A412" s="313" t="s">
        <v>1155</v>
      </c>
      <c r="B412" s="69" t="str">
        <f>VLOOKUP(A412,URS確認!$E:$F,2,FALSE)</f>
        <v>消債條列JCIC報送資料歷程查詢(041)</v>
      </c>
      <c r="C412" s="313">
        <v>1</v>
      </c>
      <c r="D412" s="220" t="s">
        <v>1875</v>
      </c>
      <c r="E412" s="71">
        <v>44483</v>
      </c>
      <c r="F412" s="313"/>
      <c r="G412" s="313"/>
      <c r="I412" s="313" t="s">
        <v>148</v>
      </c>
    </row>
    <row r="413" spans="1:13" ht="33" hidden="1" customHeight="1">
      <c r="A413" s="313" t="s">
        <v>1167</v>
      </c>
      <c r="B413" s="69" t="str">
        <f>VLOOKUP(A413,URS確認!$E:$F,2,FALSE)</f>
        <v>消債條列JCIC報送資料歷程查詢(047)</v>
      </c>
      <c r="C413" s="313">
        <v>1</v>
      </c>
      <c r="D413" s="220" t="s">
        <v>1876</v>
      </c>
      <c r="E413" s="71">
        <v>44483</v>
      </c>
      <c r="F413" s="313"/>
      <c r="G413" s="313"/>
      <c r="I413" s="313" t="s">
        <v>148</v>
      </c>
    </row>
    <row r="414" spans="1:13" hidden="1">
      <c r="A414" s="313" t="s">
        <v>1169</v>
      </c>
      <c r="B414" s="69" t="str">
        <f>VLOOKUP(A414,URS確認!$E:$F,2,FALSE)</f>
        <v>消債條列JCIC報送資料歷程查詢(048)</v>
      </c>
      <c r="C414" s="313">
        <v>1</v>
      </c>
      <c r="D414" s="220" t="s">
        <v>1877</v>
      </c>
      <c r="E414" s="71">
        <v>44483</v>
      </c>
      <c r="F414" s="313"/>
      <c r="G414" s="313"/>
      <c r="I414" s="313" t="s">
        <v>148</v>
      </c>
    </row>
    <row r="415" spans="1:13" hidden="1">
      <c r="A415" s="313" t="s">
        <v>1215</v>
      </c>
      <c r="B415" s="69" t="str">
        <f>VLOOKUP(A415,URS確認!$E:$F,2,FALSE)</f>
        <v>消債條列JCIC報送資料歷程查詢(570)</v>
      </c>
      <c r="C415" s="313">
        <v>1</v>
      </c>
      <c r="D415" s="220" t="s">
        <v>1878</v>
      </c>
      <c r="E415" s="71">
        <v>44483</v>
      </c>
      <c r="F415" s="313"/>
      <c r="G415" s="313"/>
      <c r="I415" s="313" t="s">
        <v>148</v>
      </c>
    </row>
    <row r="416" spans="1:13" hidden="1">
      <c r="A416" s="313" t="s">
        <v>645</v>
      </c>
      <c r="B416" s="69" t="str">
        <f>VLOOKUP(A416,URS確認!$E:$F,2,FALSE)</f>
        <v xml:space="preserve">入帳檔上傳作業                       </v>
      </c>
      <c r="C416" s="313">
        <v>1</v>
      </c>
      <c r="D416" s="220" t="s">
        <v>1879</v>
      </c>
      <c r="E416" s="71">
        <v>44484</v>
      </c>
      <c r="F416" s="71">
        <v>44505</v>
      </c>
      <c r="G416" s="313"/>
      <c r="I416" s="313" t="str">
        <f>VLOOKUP(A416,URS確認!E:I,5,FALSE)</f>
        <v>陳綺萍</v>
      </c>
    </row>
    <row r="417" spans="1:13" ht="49.5" hidden="1" customHeight="1">
      <c r="A417" s="313" t="s">
        <v>671</v>
      </c>
      <c r="B417" s="69" t="str">
        <f>VLOOKUP(A417,URS確認!$E:$F,2,FALSE)</f>
        <v>產生銀扣失敗通知</v>
      </c>
      <c r="C417" s="313">
        <v>1</v>
      </c>
      <c r="D417" s="220" t="s">
        <v>1880</v>
      </c>
      <c r="E417" s="71">
        <v>44484</v>
      </c>
      <c r="F417" s="71" t="s">
        <v>1881</v>
      </c>
      <c r="G417" s="313"/>
      <c r="I417" s="313" t="s">
        <v>203</v>
      </c>
    </row>
    <row r="418" spans="1:13" hidden="1">
      <c r="A418" s="313" t="s">
        <v>665</v>
      </c>
      <c r="B418" s="69" t="str">
        <f>VLOOKUP(A418,URS確認!$E:$F,2,FALSE)</f>
        <v>整批勾選處理</v>
      </c>
      <c r="C418" s="313">
        <v>1</v>
      </c>
      <c r="D418" s="220" t="s">
        <v>1882</v>
      </c>
      <c r="E418" s="71">
        <v>44484</v>
      </c>
      <c r="F418" s="71">
        <v>44504</v>
      </c>
      <c r="G418" s="71">
        <v>44504</v>
      </c>
      <c r="I418" s="313" t="s">
        <v>203</v>
      </c>
    </row>
    <row r="419" spans="1:13" ht="33" hidden="1" customHeight="1">
      <c r="A419" s="313" t="s">
        <v>654</v>
      </c>
      <c r="B419" s="69" t="str">
        <f>VLOOKUP(A419,URS確認!$E:$F,2,FALSE)</f>
        <v xml:space="preserve">整批入帳作業                         </v>
      </c>
      <c r="C419" s="313">
        <v>1</v>
      </c>
      <c r="D419" s="220" t="s">
        <v>1883</v>
      </c>
      <c r="E419" s="71">
        <v>44484</v>
      </c>
      <c r="F419" s="71">
        <v>44504</v>
      </c>
      <c r="G419" s="71">
        <v>44504</v>
      </c>
      <c r="I419" s="313" t="s">
        <v>203</v>
      </c>
    </row>
    <row r="420" spans="1:13" hidden="1">
      <c r="A420" s="313" t="s">
        <v>654</v>
      </c>
      <c r="B420" s="69" t="str">
        <f>VLOOKUP(A420,URS確認!$E:$F,2,FALSE)</f>
        <v xml:space="preserve">整批入帳作業                         </v>
      </c>
      <c r="C420" s="313">
        <v>2</v>
      </c>
      <c r="D420" s="220" t="s">
        <v>1884</v>
      </c>
      <c r="E420" s="71">
        <v>44484</v>
      </c>
      <c r="F420" s="71">
        <v>44504</v>
      </c>
      <c r="G420" s="71">
        <v>44504</v>
      </c>
      <c r="I420" s="313" t="s">
        <v>203</v>
      </c>
    </row>
    <row r="421" spans="1:13" hidden="1">
      <c r="A421" s="313" t="s">
        <v>663</v>
      </c>
      <c r="B421" s="69" t="str">
        <f>VLOOKUP(A421,URS確認!$E:$F,2,FALSE)</f>
        <v xml:space="preserve">整批入帳明細查詢(By日期區間)         </v>
      </c>
      <c r="C421" s="313">
        <v>1</v>
      </c>
      <c r="D421" s="220" t="s">
        <v>1885</v>
      </c>
      <c r="E421" s="71">
        <v>44484</v>
      </c>
      <c r="F421" s="71">
        <v>44510</v>
      </c>
      <c r="G421" s="313"/>
      <c r="I421" s="313" t="s">
        <v>203</v>
      </c>
    </row>
    <row r="422" spans="1:13" ht="49.5" hidden="1" customHeight="1">
      <c r="A422" s="313" t="s">
        <v>474</v>
      </c>
      <c r="B422" s="69" t="str">
        <f>VLOOKUP(A422,URS確認!$E:$F,2,FALSE)</f>
        <v xml:space="preserve">銀行扣款檔資料查詢                   </v>
      </c>
      <c r="C422" s="313">
        <v>1</v>
      </c>
      <c r="D422" s="220" t="s">
        <v>1886</v>
      </c>
      <c r="E422" s="71">
        <v>44484</v>
      </c>
      <c r="F422" s="71">
        <v>44504</v>
      </c>
      <c r="G422" s="71">
        <v>44504</v>
      </c>
      <c r="I422" s="313" t="s">
        <v>203</v>
      </c>
    </row>
    <row r="423" spans="1:13" hidden="1">
      <c r="B423" s="69" t="s">
        <v>1848</v>
      </c>
      <c r="C423" s="313">
        <v>1</v>
      </c>
      <c r="D423" s="220" t="s">
        <v>1887</v>
      </c>
      <c r="E423" s="71">
        <v>44484</v>
      </c>
      <c r="F423" s="313" t="s">
        <v>1852</v>
      </c>
      <c r="G423" s="313"/>
      <c r="I423" s="313" t="s">
        <v>203</v>
      </c>
    </row>
    <row r="424" spans="1:13" hidden="1">
      <c r="B424" s="69" t="s">
        <v>1848</v>
      </c>
      <c r="C424" s="313">
        <v>2</v>
      </c>
      <c r="D424" s="220" t="s">
        <v>1888</v>
      </c>
      <c r="E424" s="71">
        <v>44484</v>
      </c>
      <c r="F424" s="313" t="s">
        <v>1852</v>
      </c>
      <c r="G424" s="313"/>
      <c r="I424" s="313" t="s">
        <v>203</v>
      </c>
    </row>
    <row r="425" spans="1:13" ht="87.75" hidden="1" customHeight="1">
      <c r="A425" s="313" t="s">
        <v>725</v>
      </c>
      <c r="B425" s="69" t="s">
        <v>1889</v>
      </c>
      <c r="C425" s="313">
        <v>1</v>
      </c>
      <c r="D425" s="74" t="s">
        <v>1890</v>
      </c>
      <c r="E425" s="71">
        <v>44487</v>
      </c>
      <c r="F425" s="71">
        <v>44496</v>
      </c>
      <c r="G425" s="71">
        <v>44496</v>
      </c>
      <c r="H425" s="71">
        <v>44510</v>
      </c>
      <c r="I425" s="313" t="str">
        <f>VLOOKUP(A425,URS確認!E:I,5,FALSE)</f>
        <v>余家興</v>
      </c>
      <c r="L425" s="313" t="s">
        <v>1449</v>
      </c>
    </row>
    <row r="426" spans="1:13" hidden="1">
      <c r="A426" s="313" t="s">
        <v>1891</v>
      </c>
      <c r="B426" s="69" t="s">
        <v>1892</v>
      </c>
      <c r="C426" s="313">
        <v>1</v>
      </c>
      <c r="D426" s="74" t="s">
        <v>1893</v>
      </c>
      <c r="E426" s="71">
        <v>44487</v>
      </c>
      <c r="F426" s="313"/>
      <c r="G426" s="313"/>
      <c r="I426" s="313" t="s">
        <v>1502</v>
      </c>
    </row>
    <row r="427" spans="1:13">
      <c r="A427" s="313" t="s">
        <v>803</v>
      </c>
      <c r="B427" s="69" t="str">
        <f>VLOOKUP(A427,URS確認!$E:$F,2,FALSE)</f>
        <v>核心傳票相關單獨作業</v>
      </c>
      <c r="C427" s="313">
        <v>1</v>
      </c>
      <c r="D427" s="74" t="s">
        <v>1894</v>
      </c>
      <c r="E427" s="71">
        <v>44487</v>
      </c>
      <c r="F427" s="71">
        <v>44494</v>
      </c>
      <c r="G427" s="71">
        <v>44494</v>
      </c>
      <c r="H427" s="71">
        <v>44494</v>
      </c>
      <c r="I427" s="313" t="str">
        <f>VLOOKUP(A427,URS確認!E:I,5,FALSE)</f>
        <v>楊智誠</v>
      </c>
      <c r="L427" s="313" t="s">
        <v>1449</v>
      </c>
    </row>
    <row r="428" spans="1:13" ht="33" hidden="1" customHeight="1">
      <c r="B428" s="69" t="s">
        <v>1895</v>
      </c>
      <c r="C428" s="313">
        <v>1</v>
      </c>
      <c r="D428" s="74" t="s">
        <v>1896</v>
      </c>
      <c r="E428" s="71">
        <v>44488</v>
      </c>
      <c r="F428" s="313" t="s">
        <v>1852</v>
      </c>
      <c r="G428" s="313"/>
      <c r="I428" s="313" t="s">
        <v>203</v>
      </c>
      <c r="M428" s="313" t="s">
        <v>1465</v>
      </c>
    </row>
    <row r="429" spans="1:13" hidden="1">
      <c r="B429" s="69" t="s">
        <v>1897</v>
      </c>
      <c r="C429" s="313">
        <v>1</v>
      </c>
      <c r="D429" s="74" t="s">
        <v>1898</v>
      </c>
      <c r="E429" s="71">
        <v>44488</v>
      </c>
      <c r="F429" s="71">
        <v>44512</v>
      </c>
      <c r="G429" s="71">
        <v>44512</v>
      </c>
      <c r="I429" s="313" t="s">
        <v>203</v>
      </c>
      <c r="M429" s="313" t="s">
        <v>1465</v>
      </c>
    </row>
    <row r="430" spans="1:13" hidden="1">
      <c r="A430" s="313" t="s">
        <v>469</v>
      </c>
      <c r="B430" s="69" t="str">
        <f>VLOOKUP(A430,URS確認!$E:$F,2,FALSE)</f>
        <v xml:space="preserve">保險單明細資料查詢       </v>
      </c>
      <c r="C430" s="313">
        <v>1</v>
      </c>
      <c r="D430" s="74" t="s">
        <v>1899</v>
      </c>
      <c r="E430" s="71">
        <v>44488</v>
      </c>
      <c r="F430" s="71">
        <v>44504</v>
      </c>
      <c r="G430" s="71">
        <v>44504</v>
      </c>
      <c r="I430" s="313" t="s">
        <v>203</v>
      </c>
      <c r="L430" s="313" t="s">
        <v>1449</v>
      </c>
    </row>
    <row r="431" spans="1:13" ht="33" hidden="1" customHeight="1">
      <c r="A431" s="313" t="s">
        <v>469</v>
      </c>
      <c r="B431" s="69" t="str">
        <f>VLOOKUP(A431,URS確認!$E:$F,2,FALSE)</f>
        <v xml:space="preserve">保險單明細資料查詢       </v>
      </c>
      <c r="C431" s="313">
        <v>2</v>
      </c>
      <c r="D431" s="74" t="s">
        <v>1900</v>
      </c>
      <c r="E431" s="71">
        <v>44488</v>
      </c>
      <c r="F431" s="71">
        <v>44504</v>
      </c>
      <c r="G431" s="71">
        <v>44504</v>
      </c>
      <c r="I431" s="313" t="s">
        <v>203</v>
      </c>
      <c r="L431" s="313" t="s">
        <v>1449</v>
      </c>
    </row>
    <row r="432" spans="1:13" ht="66" hidden="1" customHeight="1">
      <c r="A432" s="313" t="s">
        <v>761</v>
      </c>
      <c r="B432" s="69" t="str">
        <f>VLOOKUP(A432,URS確認!$E:$F,2,FALSE)</f>
        <v xml:space="preserve">火險保費未繳轉借支作業     </v>
      </c>
      <c r="C432" s="313">
        <v>1</v>
      </c>
      <c r="D432" s="74" t="s">
        <v>1901</v>
      </c>
      <c r="E432" s="71">
        <v>44488</v>
      </c>
      <c r="F432" s="71">
        <v>44510</v>
      </c>
      <c r="G432" s="71">
        <v>44508</v>
      </c>
      <c r="I432" s="313" t="s">
        <v>203</v>
      </c>
      <c r="L432" s="313" t="s">
        <v>1449</v>
      </c>
    </row>
    <row r="433" spans="1:13" ht="33" hidden="1" customHeight="1">
      <c r="A433" s="313" t="s">
        <v>765</v>
      </c>
      <c r="B433" s="69" t="str">
        <f>VLOOKUP(A433,URS確認!$E:$F,2,FALSE)</f>
        <v xml:space="preserve">火險佣金作業               </v>
      </c>
      <c r="C433" s="313">
        <v>1</v>
      </c>
      <c r="D433" s="74" t="s">
        <v>1902</v>
      </c>
      <c r="E433" s="71">
        <v>44488</v>
      </c>
      <c r="F433" s="71">
        <v>44505</v>
      </c>
      <c r="G433" s="71">
        <v>44505</v>
      </c>
      <c r="I433" s="313" t="s">
        <v>203</v>
      </c>
      <c r="L433" s="313" t="s">
        <v>1449</v>
      </c>
    </row>
    <row r="434" spans="1:13" ht="33" hidden="1" customHeight="1">
      <c r="A434" s="313" t="s">
        <v>765</v>
      </c>
      <c r="B434" s="69" t="str">
        <f>VLOOKUP(A434,URS確認!$E:$F,2,FALSE)</f>
        <v xml:space="preserve">火險佣金作業               </v>
      </c>
      <c r="C434" s="313">
        <v>2</v>
      </c>
      <c r="D434" s="74" t="s">
        <v>1903</v>
      </c>
      <c r="E434" s="71">
        <v>44488</v>
      </c>
      <c r="F434" s="71">
        <v>44505</v>
      </c>
      <c r="G434" s="71">
        <v>44505</v>
      </c>
      <c r="I434" s="313" t="s">
        <v>203</v>
      </c>
      <c r="L434" s="313" t="s">
        <v>1449</v>
      </c>
    </row>
    <row r="435" spans="1:13" ht="33" hidden="1" customHeight="1">
      <c r="B435" s="69" t="s">
        <v>1904</v>
      </c>
      <c r="C435" s="313">
        <v>1</v>
      </c>
      <c r="D435" s="74" t="s">
        <v>1905</v>
      </c>
      <c r="E435" s="71">
        <v>44488</v>
      </c>
      <c r="F435" s="71">
        <v>44505</v>
      </c>
      <c r="G435" s="71">
        <v>44505</v>
      </c>
      <c r="I435" s="313" t="s">
        <v>203</v>
      </c>
      <c r="L435" s="313" t="s">
        <v>1449</v>
      </c>
    </row>
    <row r="436" spans="1:13" ht="33" hidden="1" customHeight="1">
      <c r="B436" s="69" t="s">
        <v>1904</v>
      </c>
      <c r="C436" s="313">
        <v>2</v>
      </c>
      <c r="D436" s="74" t="s">
        <v>1906</v>
      </c>
      <c r="E436" s="71">
        <v>44488</v>
      </c>
      <c r="F436" s="71">
        <v>44505</v>
      </c>
      <c r="G436" s="71">
        <v>44505</v>
      </c>
      <c r="I436" s="313" t="s">
        <v>203</v>
      </c>
      <c r="L436" s="313" t="s">
        <v>1449</v>
      </c>
    </row>
    <row r="437" spans="1:13" ht="49.5" hidden="1" customHeight="1">
      <c r="B437" s="69" t="s">
        <v>1904</v>
      </c>
      <c r="C437" s="313">
        <v>3</v>
      </c>
      <c r="D437" s="74" t="s">
        <v>1907</v>
      </c>
      <c r="E437" s="71">
        <v>44488</v>
      </c>
      <c r="F437" s="71">
        <v>44508</v>
      </c>
      <c r="G437" s="71">
        <v>44508</v>
      </c>
      <c r="I437" s="313" t="s">
        <v>203</v>
      </c>
      <c r="L437" s="313" t="s">
        <v>1449</v>
      </c>
    </row>
    <row r="438" spans="1:13" hidden="1">
      <c r="A438" s="313" t="s">
        <v>775</v>
      </c>
      <c r="B438" s="69" t="str">
        <f>VLOOKUP(A438,URS確認!$E:$F,2,FALSE)</f>
        <v>各項提存作業</v>
      </c>
      <c r="C438" s="313">
        <v>1</v>
      </c>
      <c r="D438" s="74" t="s">
        <v>1908</v>
      </c>
      <c r="E438" s="71">
        <v>44488</v>
      </c>
      <c r="F438" s="313"/>
      <c r="G438" s="313"/>
      <c r="I438" s="313" t="str">
        <f>VLOOKUP(A438,URS確認!E:I,5,FALSE)</f>
        <v>余家興</v>
      </c>
      <c r="L438" s="313" t="s">
        <v>1449</v>
      </c>
    </row>
    <row r="439" spans="1:13" hidden="1">
      <c r="A439" s="313" t="s">
        <v>717</v>
      </c>
      <c r="B439" s="69" t="str">
        <f>VLOOKUP(A439,URS確認!$E:$F,2,FALSE)</f>
        <v>暫收款銷帳</v>
      </c>
      <c r="C439" s="313">
        <v>1</v>
      </c>
      <c r="D439" s="74" t="s">
        <v>1909</v>
      </c>
      <c r="E439" s="71">
        <v>44488</v>
      </c>
      <c r="F439" s="71">
        <v>44496</v>
      </c>
      <c r="G439" s="71">
        <v>44496</v>
      </c>
      <c r="H439" s="71">
        <v>44510</v>
      </c>
      <c r="I439" s="313" t="str">
        <f>VLOOKUP(A439,URS確認!E:I,5,FALSE)</f>
        <v>余家興</v>
      </c>
      <c r="L439" s="313" t="s">
        <v>1449</v>
      </c>
    </row>
    <row r="440" spans="1:13" ht="61.5" hidden="1" customHeight="1">
      <c r="A440" s="313" t="s">
        <v>717</v>
      </c>
      <c r="B440" s="69" t="str">
        <f>VLOOKUP(A440,URS確認!$E:$F,2,FALSE)</f>
        <v>暫收款銷帳</v>
      </c>
      <c r="C440" s="313">
        <v>2</v>
      </c>
      <c r="D440" s="74" t="s">
        <v>1910</v>
      </c>
      <c r="E440" s="71">
        <v>44488</v>
      </c>
      <c r="F440" s="71">
        <v>44495</v>
      </c>
      <c r="G440" s="71">
        <v>44495</v>
      </c>
      <c r="H440" s="71">
        <v>44510</v>
      </c>
      <c r="I440" s="313" t="str">
        <f>VLOOKUP(A440,URS確認!E:I,5,FALSE)</f>
        <v>余家興</v>
      </c>
      <c r="L440" s="313" t="s">
        <v>1449</v>
      </c>
    </row>
    <row r="441" spans="1:13" hidden="1">
      <c r="A441" s="313" t="s">
        <v>381</v>
      </c>
      <c r="B441" s="69" t="str">
        <f>VLOOKUP(A441,URS確認!$E:$F,2,FALSE)</f>
        <v xml:space="preserve">應處理清單      </v>
      </c>
      <c r="C441" s="313">
        <v>1</v>
      </c>
      <c r="D441" s="74" t="s">
        <v>1911</v>
      </c>
      <c r="E441" s="71">
        <v>44488</v>
      </c>
      <c r="F441" s="313"/>
      <c r="G441" s="313"/>
      <c r="I441" s="313" t="str">
        <f>VLOOKUP(A441,URS確認!E:I,5,FALSE)</f>
        <v>余家興</v>
      </c>
      <c r="M441" s="313" t="s">
        <v>1465</v>
      </c>
    </row>
    <row r="442" spans="1:13" ht="33" hidden="1" customHeight="1">
      <c r="B442" s="69" t="s">
        <v>1912</v>
      </c>
      <c r="C442" s="313">
        <v>1</v>
      </c>
      <c r="D442" s="74" t="s">
        <v>1913</v>
      </c>
      <c r="E442" s="71">
        <v>44489</v>
      </c>
      <c r="F442" s="313"/>
      <c r="G442" s="313"/>
      <c r="M442" s="313" t="s">
        <v>1465</v>
      </c>
    </row>
    <row r="443" spans="1:13">
      <c r="A443" s="313" t="s">
        <v>844</v>
      </c>
      <c r="B443" s="69" t="str">
        <f>VLOOKUP(A443,URS確認!$E:$F,2,FALSE)</f>
        <v>指標利率種類查詢</v>
      </c>
      <c r="C443" s="313">
        <v>1</v>
      </c>
      <c r="D443" s="74" t="s">
        <v>1914</v>
      </c>
      <c r="E443" s="71">
        <v>44489</v>
      </c>
      <c r="F443" s="71">
        <v>44494</v>
      </c>
      <c r="G443" s="71">
        <v>44494</v>
      </c>
      <c r="H443" s="71">
        <v>44494</v>
      </c>
      <c r="I443" s="313" t="str">
        <f>VLOOKUP(A443,URS確認!E:I,5,FALSE)</f>
        <v>楊智誠</v>
      </c>
      <c r="L443" s="313" t="s">
        <v>1449</v>
      </c>
    </row>
    <row r="444" spans="1:13" ht="66" customHeight="1">
      <c r="A444" s="313" t="s">
        <v>846</v>
      </c>
      <c r="B444" s="69" t="str">
        <f>VLOOKUP(A444,URS確認!$E:$F,2,FALSE)</f>
        <v>指標利率資料查詢</v>
      </c>
      <c r="C444" s="313">
        <v>1</v>
      </c>
      <c r="D444" s="74" t="s">
        <v>1915</v>
      </c>
      <c r="E444" s="71">
        <v>44489</v>
      </c>
      <c r="F444" s="71">
        <v>44494</v>
      </c>
      <c r="G444" s="71">
        <v>44494</v>
      </c>
      <c r="H444" s="71">
        <v>44494</v>
      </c>
      <c r="I444" s="313" t="str">
        <f>VLOOKUP(A444,URS確認!E:I,5,FALSE)</f>
        <v>楊智誠</v>
      </c>
      <c r="L444" s="313" t="s">
        <v>1449</v>
      </c>
    </row>
    <row r="445" spans="1:13" ht="99" customHeight="1">
      <c r="A445" s="313" t="s">
        <v>846</v>
      </c>
      <c r="B445" s="69" t="str">
        <f>VLOOKUP(A445,URS確認!$E:$F,2,FALSE)</f>
        <v>指標利率資料查詢</v>
      </c>
      <c r="C445" s="313">
        <v>2</v>
      </c>
      <c r="D445" s="74" t="s">
        <v>1916</v>
      </c>
      <c r="E445" s="71">
        <v>44489</v>
      </c>
      <c r="F445" s="71">
        <v>44494</v>
      </c>
      <c r="G445" s="71">
        <v>44494</v>
      </c>
      <c r="H445" s="71">
        <v>44494</v>
      </c>
      <c r="I445" s="313" t="str">
        <f>VLOOKUP(A445,URS確認!E:I,5,FALSE)</f>
        <v>楊智誠</v>
      </c>
      <c r="L445" s="313" t="s">
        <v>1449</v>
      </c>
    </row>
    <row r="446" spans="1:13">
      <c r="A446" s="313" t="s">
        <v>850</v>
      </c>
      <c r="B446" s="69" t="str">
        <f>VLOOKUP(A446,URS確認!$E:$F,2,FALSE)</f>
        <v>指標利率登錄/維護</v>
      </c>
      <c r="C446" s="313">
        <v>1</v>
      </c>
      <c r="D446" s="74" t="s">
        <v>1917</v>
      </c>
      <c r="E446" s="71">
        <v>44489</v>
      </c>
      <c r="F446" s="71">
        <v>44494</v>
      </c>
      <c r="G446" s="71">
        <v>44494</v>
      </c>
      <c r="H446" s="71">
        <v>44494</v>
      </c>
      <c r="I446" s="313" t="str">
        <f>VLOOKUP(A446,URS確認!E:I,5,FALSE)</f>
        <v>楊智誠</v>
      </c>
      <c r="L446" s="313" t="s">
        <v>1449</v>
      </c>
    </row>
    <row r="447" spans="1:13" ht="66" customHeight="1">
      <c r="A447" s="313" t="s">
        <v>850</v>
      </c>
      <c r="B447" s="69" t="str">
        <f>VLOOKUP(A447,URS確認!$E:$F,2,FALSE)</f>
        <v>指標利率登錄/維護</v>
      </c>
      <c r="C447" s="313">
        <v>2</v>
      </c>
      <c r="D447" s="74" t="s">
        <v>1918</v>
      </c>
      <c r="E447" s="71">
        <v>44489</v>
      </c>
      <c r="F447" s="71">
        <v>44494</v>
      </c>
      <c r="G447" s="71">
        <v>44494</v>
      </c>
      <c r="H447" s="71">
        <v>44494</v>
      </c>
      <c r="I447" s="313" t="str">
        <f>VLOOKUP(A447,URS確認!E:I,5,FALSE)</f>
        <v>楊智誠</v>
      </c>
      <c r="L447" s="313" t="s">
        <v>1449</v>
      </c>
    </row>
    <row r="448" spans="1:13" ht="66" customHeight="1">
      <c r="A448" s="313" t="s">
        <v>850</v>
      </c>
      <c r="B448" s="69" t="str">
        <f>VLOOKUP(A448,URS確認!$E:$F,2,FALSE)</f>
        <v>指標利率登錄/維護</v>
      </c>
      <c r="C448" s="313">
        <v>3</v>
      </c>
      <c r="D448" s="74" t="s">
        <v>1919</v>
      </c>
      <c r="E448" s="71">
        <v>44489</v>
      </c>
      <c r="F448" s="71">
        <v>44494</v>
      </c>
      <c r="G448" s="71">
        <v>44494</v>
      </c>
      <c r="H448" s="71">
        <v>44494</v>
      </c>
      <c r="I448" s="313" t="str">
        <f>VLOOKUP(A448,URS確認!E:I,5,FALSE)</f>
        <v>楊智誠</v>
      </c>
      <c r="L448" s="313" t="s">
        <v>1449</v>
      </c>
    </row>
    <row r="449" spans="1:13" ht="33" hidden="1" customHeight="1">
      <c r="A449" s="313" t="s">
        <v>828</v>
      </c>
      <c r="B449" s="69" t="str">
        <f>VLOOKUP(A449,URS確認!$E:$F,2,FALSE)</f>
        <v xml:space="preserve">產生利率即將變動資料                 </v>
      </c>
      <c r="C449" s="313">
        <v>1</v>
      </c>
      <c r="D449" s="74" t="s">
        <v>1920</v>
      </c>
      <c r="E449" s="71">
        <v>44490</v>
      </c>
      <c r="F449" s="71">
        <v>44504</v>
      </c>
      <c r="G449" s="71">
        <v>44504</v>
      </c>
      <c r="I449" s="313" t="s">
        <v>203</v>
      </c>
      <c r="L449" s="313" t="s">
        <v>1449</v>
      </c>
    </row>
    <row r="450" spans="1:13" ht="82.5" hidden="1" customHeight="1">
      <c r="A450" s="313" t="s">
        <v>828</v>
      </c>
      <c r="B450" s="69" t="str">
        <f>VLOOKUP(A450,URS確認!$E:$F,2,FALSE)</f>
        <v xml:space="preserve">產生利率即將變動資料                 </v>
      </c>
      <c r="C450" s="313">
        <v>2</v>
      </c>
      <c r="D450" s="74" t="s">
        <v>1921</v>
      </c>
      <c r="E450" s="71">
        <v>44490</v>
      </c>
      <c r="F450" s="128" t="s">
        <v>1922</v>
      </c>
      <c r="G450" s="128" t="s">
        <v>1922</v>
      </c>
      <c r="I450" s="313" t="s">
        <v>203</v>
      </c>
      <c r="L450" s="313" t="s">
        <v>1449</v>
      </c>
    </row>
    <row r="451" spans="1:13" ht="33" hidden="1" customHeight="1">
      <c r="A451" s="313" t="s">
        <v>828</v>
      </c>
      <c r="B451" s="69" t="str">
        <f>VLOOKUP(A451,URS確認!$E:$F,2,FALSE)</f>
        <v xml:space="preserve">產生利率即將變動資料                 </v>
      </c>
      <c r="C451" s="313">
        <v>3</v>
      </c>
      <c r="D451" s="74" t="s">
        <v>1923</v>
      </c>
      <c r="E451" s="71">
        <v>44490</v>
      </c>
      <c r="F451" s="71" t="s">
        <v>1845</v>
      </c>
      <c r="G451" s="313"/>
      <c r="I451" s="313" t="s">
        <v>1846</v>
      </c>
      <c r="M451" s="313" t="s">
        <v>1465</v>
      </c>
    </row>
    <row r="452" spans="1:13" hidden="1">
      <c r="A452" s="313" t="s">
        <v>830</v>
      </c>
      <c r="B452" s="69" t="str">
        <f>VLOOKUP(A452,URS確認!$E:$F,2,FALSE)</f>
        <v>利率調整清單</v>
      </c>
      <c r="C452" s="313">
        <v>1</v>
      </c>
      <c r="D452" s="74" t="s">
        <v>1924</v>
      </c>
      <c r="E452" s="71">
        <v>44490</v>
      </c>
      <c r="F452" s="71">
        <v>44504</v>
      </c>
      <c r="G452" s="71">
        <v>44504</v>
      </c>
      <c r="I452" s="313" t="s">
        <v>203</v>
      </c>
      <c r="L452" s="313" t="s">
        <v>1449</v>
      </c>
    </row>
    <row r="453" spans="1:13" ht="33" hidden="1" customHeight="1">
      <c r="A453" s="313" t="s">
        <v>830</v>
      </c>
      <c r="B453" s="69" t="str">
        <f>VLOOKUP(A453,URS確認!$E:$F,2,FALSE)</f>
        <v>利率調整清單</v>
      </c>
      <c r="C453" s="313">
        <v>2</v>
      </c>
      <c r="D453" s="74" t="s">
        <v>1925</v>
      </c>
      <c r="E453" s="71">
        <v>44490</v>
      </c>
      <c r="F453" s="71">
        <v>44512</v>
      </c>
      <c r="G453" s="71">
        <v>44512</v>
      </c>
      <c r="I453" s="313" t="s">
        <v>203</v>
      </c>
      <c r="L453" s="313" t="s">
        <v>1449</v>
      </c>
    </row>
    <row r="454" spans="1:13" hidden="1">
      <c r="A454" s="313" t="s">
        <v>830</v>
      </c>
      <c r="B454" s="69" t="str">
        <f>VLOOKUP(A454,URS確認!$E:$F,2,FALSE)</f>
        <v>利率調整清單</v>
      </c>
      <c r="C454" s="313">
        <v>3</v>
      </c>
      <c r="D454" s="74" t="s">
        <v>1926</v>
      </c>
      <c r="E454" s="71">
        <v>44490</v>
      </c>
      <c r="F454" s="71">
        <v>44512</v>
      </c>
      <c r="G454" s="71">
        <v>44511</v>
      </c>
      <c r="I454" s="313" t="s">
        <v>203</v>
      </c>
      <c r="L454" s="313" t="s">
        <v>1449</v>
      </c>
    </row>
    <row r="455" spans="1:13" ht="33" hidden="1" customHeight="1">
      <c r="A455" s="313" t="s">
        <v>830</v>
      </c>
      <c r="B455" s="69" t="str">
        <f>VLOOKUP(A455,URS確認!$E:$F,2,FALSE)</f>
        <v>利率調整清單</v>
      </c>
      <c r="C455" s="313">
        <v>4</v>
      </c>
      <c r="D455" s="74" t="s">
        <v>1927</v>
      </c>
      <c r="E455" s="71">
        <v>44490</v>
      </c>
      <c r="F455" s="71">
        <v>44508</v>
      </c>
      <c r="G455" s="71">
        <v>44508</v>
      </c>
      <c r="I455" s="313" t="s">
        <v>203</v>
      </c>
      <c r="L455" s="313" t="s">
        <v>1449</v>
      </c>
    </row>
    <row r="456" spans="1:13" hidden="1">
      <c r="A456" s="313" t="s">
        <v>837</v>
      </c>
      <c r="B456" s="69" t="str">
        <f>VLOOKUP(A456,URS確認!$E:$F,2,FALSE)</f>
        <v>個別利率調整作業</v>
      </c>
      <c r="C456" s="313">
        <v>1</v>
      </c>
      <c r="D456" s="74" t="s">
        <v>1928</v>
      </c>
      <c r="E456" s="71">
        <v>44490</v>
      </c>
      <c r="F456" s="71">
        <v>44508</v>
      </c>
      <c r="G456" s="71">
        <v>44508</v>
      </c>
      <c r="I456" s="313" t="s">
        <v>203</v>
      </c>
      <c r="L456" s="313" t="s">
        <v>1449</v>
      </c>
    </row>
    <row r="457" spans="1:13" hidden="1">
      <c r="A457" s="313" t="s">
        <v>837</v>
      </c>
      <c r="B457" s="69" t="str">
        <f>VLOOKUP(A457,URS確認!$E:$F,2,FALSE)</f>
        <v>個別利率調整作業</v>
      </c>
      <c r="C457" s="313">
        <v>2</v>
      </c>
      <c r="D457" s="74" t="s">
        <v>1929</v>
      </c>
      <c r="E457" s="71">
        <v>44490</v>
      </c>
      <c r="F457" s="71">
        <v>44504</v>
      </c>
      <c r="G457" s="71">
        <v>44504</v>
      </c>
      <c r="I457" s="313" t="s">
        <v>203</v>
      </c>
      <c r="L457" s="313" t="s">
        <v>1449</v>
      </c>
    </row>
    <row r="458" spans="1:13" hidden="1">
      <c r="A458" s="313" t="s">
        <v>832</v>
      </c>
      <c r="B458" s="69" t="str">
        <f>VLOOKUP(A458,URS確認!$E:$F,2,FALSE)</f>
        <v>利率調整確認作業</v>
      </c>
      <c r="C458" s="313">
        <v>1</v>
      </c>
      <c r="D458" s="74" t="s">
        <v>1930</v>
      </c>
      <c r="E458" s="71">
        <v>44490</v>
      </c>
      <c r="F458" s="71">
        <v>44504</v>
      </c>
      <c r="G458" s="71">
        <v>44504</v>
      </c>
      <c r="I458" s="313" t="s">
        <v>203</v>
      </c>
      <c r="L458" s="313" t="s">
        <v>1449</v>
      </c>
    </row>
    <row r="459" spans="1:13" ht="367.5" hidden="1" customHeight="1">
      <c r="A459" s="313" t="s">
        <v>841</v>
      </c>
      <c r="B459" s="69" t="s">
        <v>1931</v>
      </c>
      <c r="D459" s="238" t="s">
        <v>1932</v>
      </c>
      <c r="E459" s="71"/>
      <c r="F459" s="71">
        <v>44505</v>
      </c>
      <c r="G459" s="313"/>
      <c r="I459" s="313" t="s">
        <v>203</v>
      </c>
      <c r="L459" s="313" t="s">
        <v>1449</v>
      </c>
    </row>
    <row r="460" spans="1:13" hidden="1">
      <c r="A460" s="313" t="s">
        <v>878</v>
      </c>
      <c r="B460" s="69" t="str">
        <f>VLOOKUP(A460,URS確認!$E:$F,2,FALSE)</f>
        <v>個人房貸調整作業</v>
      </c>
      <c r="C460" s="313">
        <v>1</v>
      </c>
      <c r="D460" s="74" t="s">
        <v>1933</v>
      </c>
      <c r="E460" s="71">
        <v>44490</v>
      </c>
      <c r="F460" s="71">
        <v>44490</v>
      </c>
      <c r="G460" s="71">
        <v>44490</v>
      </c>
      <c r="H460" s="71">
        <v>44490</v>
      </c>
      <c r="I460" s="313" t="str">
        <f>VLOOKUP(A460,URS確認!E:I,5,FALSE)</f>
        <v>陳昱衡</v>
      </c>
      <c r="L460" s="313" t="s">
        <v>1449</v>
      </c>
    </row>
    <row r="461" spans="1:13" ht="66" hidden="1" customHeight="1">
      <c r="A461" s="313" t="s">
        <v>878</v>
      </c>
      <c r="B461" s="69" t="str">
        <f>VLOOKUP(A461,URS確認!$E:$F,2,FALSE)</f>
        <v>個人房貸調整作業</v>
      </c>
      <c r="C461" s="313">
        <v>2</v>
      </c>
      <c r="D461" s="74" t="s">
        <v>1934</v>
      </c>
      <c r="E461" s="71">
        <v>44490</v>
      </c>
      <c r="F461" s="71">
        <v>44490</v>
      </c>
      <c r="G461" s="71">
        <v>44490</v>
      </c>
      <c r="H461" s="71">
        <v>44490</v>
      </c>
      <c r="I461" s="313" t="str">
        <f>VLOOKUP(A461,URS確認!E:I,5,FALSE)</f>
        <v>陳昱衡</v>
      </c>
      <c r="L461" s="313" t="s">
        <v>1449</v>
      </c>
    </row>
    <row r="462" spans="1:13" hidden="1">
      <c r="A462" s="313" t="s">
        <v>673</v>
      </c>
      <c r="B462" s="69" t="str">
        <f>VLOOKUP(A462,URS確認!$E:$F,2,FALSE)</f>
        <v xml:space="preserve">繳息情形查詢             </v>
      </c>
      <c r="C462" s="313">
        <v>1</v>
      </c>
      <c r="D462" s="74" t="s">
        <v>1935</v>
      </c>
      <c r="E462" s="71">
        <v>44491</v>
      </c>
      <c r="F462" s="71">
        <v>44504</v>
      </c>
      <c r="G462" s="71">
        <v>44504</v>
      </c>
      <c r="H462" s="71">
        <v>44510</v>
      </c>
      <c r="I462" s="313" t="str">
        <f>VLOOKUP(A462,URS確認!E:I,5,FALSE)</f>
        <v>余家興</v>
      </c>
      <c r="L462" s="313" t="s">
        <v>1449</v>
      </c>
    </row>
    <row r="463" spans="1:13" hidden="1">
      <c r="A463" s="313" t="s">
        <v>673</v>
      </c>
      <c r="B463" s="69" t="str">
        <f>VLOOKUP(A463,URS確認!$E:$F,2,FALSE)</f>
        <v xml:space="preserve">繳息情形查詢             </v>
      </c>
      <c r="C463" s="313">
        <v>2</v>
      </c>
      <c r="D463" s="74" t="s">
        <v>1936</v>
      </c>
      <c r="E463" s="71">
        <v>44491</v>
      </c>
      <c r="F463" s="71">
        <v>44504</v>
      </c>
      <c r="G463" s="71">
        <v>44504</v>
      </c>
      <c r="H463" s="71">
        <v>44510</v>
      </c>
      <c r="I463" s="313" t="str">
        <f>VLOOKUP(A463,URS確認!E:I,5,FALSE)</f>
        <v>余家興</v>
      </c>
      <c r="L463" s="313" t="s">
        <v>1449</v>
      </c>
    </row>
    <row r="464" spans="1:13" hidden="1">
      <c r="A464" s="313" t="s">
        <v>676</v>
      </c>
      <c r="B464" s="69" t="str">
        <f>VLOOKUP(A464,URS確認!$E:$F,2,FALSE)</f>
        <v>計息明細查詢</v>
      </c>
      <c r="C464" s="313">
        <v>1</v>
      </c>
      <c r="D464" s="74" t="s">
        <v>1935</v>
      </c>
      <c r="E464" s="71">
        <v>44491</v>
      </c>
      <c r="F464" s="71">
        <v>44504</v>
      </c>
      <c r="G464" s="71">
        <v>44504</v>
      </c>
      <c r="H464" s="71">
        <v>44510</v>
      </c>
      <c r="I464" s="313" t="str">
        <f>VLOOKUP(A464,URS確認!E:I,5,FALSE)</f>
        <v>余家興</v>
      </c>
      <c r="L464" s="313" t="s">
        <v>1449</v>
      </c>
    </row>
    <row r="465" spans="1:13" hidden="1">
      <c r="A465" s="313" t="s">
        <v>676</v>
      </c>
      <c r="B465" s="69" t="str">
        <f>VLOOKUP(A465,URS確認!$E:$F,2,FALSE)</f>
        <v>計息明細查詢</v>
      </c>
      <c r="C465" s="313">
        <v>2</v>
      </c>
      <c r="D465" s="74" t="s">
        <v>1937</v>
      </c>
      <c r="E465" s="71">
        <v>44491</v>
      </c>
      <c r="F465" s="71">
        <v>44504</v>
      </c>
      <c r="G465" s="71">
        <v>44504</v>
      </c>
      <c r="H465" s="71">
        <v>44510</v>
      </c>
      <c r="I465" s="313" t="str">
        <f>VLOOKUP(A465,URS確認!E:I,5,FALSE)</f>
        <v>余家興</v>
      </c>
      <c r="L465" s="313" t="s">
        <v>1449</v>
      </c>
    </row>
    <row r="466" spans="1:13" hidden="1">
      <c r="A466" s="313" t="s">
        <v>360</v>
      </c>
      <c r="B466" s="69" t="str">
        <f>VLOOKUP(A466,URS確認!$E:$F,2,FALSE)</f>
        <v xml:space="preserve">交易內容查詢             </v>
      </c>
      <c r="C466" s="313">
        <v>1</v>
      </c>
      <c r="D466" s="74" t="s">
        <v>1938</v>
      </c>
      <c r="E466" s="71">
        <v>44491</v>
      </c>
      <c r="F466" s="71">
        <v>44510</v>
      </c>
      <c r="G466" s="71">
        <v>44510</v>
      </c>
      <c r="H466" s="71">
        <v>44510</v>
      </c>
      <c r="I466" s="313" t="str">
        <f>VLOOKUP(A466,URS確認!E:I,5,FALSE)</f>
        <v>余家興</v>
      </c>
      <c r="L466" s="313" t="s">
        <v>1449</v>
      </c>
    </row>
    <row r="467" spans="1:13" ht="34.049999999999997" hidden="1" customHeight="1">
      <c r="A467" s="313" t="s">
        <v>811</v>
      </c>
      <c r="B467" s="69" t="str">
        <f>VLOOKUP(A467,URS確認!$E:$F,2,FALSE)</f>
        <v xml:space="preserve">清償作業                                </v>
      </c>
      <c r="C467" s="313">
        <v>1</v>
      </c>
      <c r="D467" s="74" t="s">
        <v>1939</v>
      </c>
      <c r="E467" s="71">
        <v>44491</v>
      </c>
      <c r="F467" s="71">
        <v>44504</v>
      </c>
      <c r="G467" s="71">
        <v>44504</v>
      </c>
      <c r="H467" s="71">
        <v>44504</v>
      </c>
      <c r="I467" s="313" t="str">
        <f>VLOOKUP(A467,URS確認!E:I,5,FALSE)</f>
        <v>余家興</v>
      </c>
      <c r="L467" s="313" t="s">
        <v>1449</v>
      </c>
    </row>
    <row r="468" spans="1:13" hidden="1">
      <c r="A468" s="313" t="s">
        <v>869</v>
      </c>
      <c r="B468" s="69" t="str">
        <f>VLOOKUP(A468,URS確認!$E:$F,2,FALSE)</f>
        <v>ID所有人案件關係查詢</v>
      </c>
      <c r="C468" s="313">
        <v>1</v>
      </c>
      <c r="D468" s="74" t="s">
        <v>1940</v>
      </c>
      <c r="E468" s="71">
        <v>44494</v>
      </c>
      <c r="F468" s="313"/>
      <c r="G468" s="313"/>
      <c r="I468" s="134" t="s">
        <v>147</v>
      </c>
      <c r="M468" s="313" t="s">
        <v>1465</v>
      </c>
    </row>
    <row r="469" spans="1:13" hidden="1">
      <c r="A469" s="313" t="s">
        <v>884</v>
      </c>
      <c r="B469" s="69" t="str">
        <f>VLOOKUP(A469,URS確認!$E:$F,2,FALSE)</f>
        <v>結清客戶申請個人資料控管維護</v>
      </c>
      <c r="C469" s="313">
        <v>1</v>
      </c>
      <c r="D469" s="74" t="s">
        <v>1941</v>
      </c>
      <c r="E469" s="71">
        <v>44494</v>
      </c>
      <c r="F469" s="71">
        <v>44494</v>
      </c>
      <c r="G469" s="71">
        <v>44494</v>
      </c>
      <c r="H469" s="71">
        <v>44494</v>
      </c>
      <c r="I469" s="313" t="str">
        <f>VLOOKUP(A469,URS確認!E:I,5,FALSE)</f>
        <v>陳昱衡</v>
      </c>
      <c r="L469" s="313" t="s">
        <v>1449</v>
      </c>
    </row>
    <row r="470" spans="1:13" hidden="1">
      <c r="A470" s="313" t="s">
        <v>884</v>
      </c>
      <c r="B470" s="69" t="str">
        <f>VLOOKUP(A470,URS確認!$E:$F,2,FALSE)</f>
        <v>結清客戶申請個人資料控管維護</v>
      </c>
      <c r="C470" s="313">
        <v>2</v>
      </c>
      <c r="D470" s="74" t="s">
        <v>1942</v>
      </c>
      <c r="E470" s="71">
        <v>44494</v>
      </c>
      <c r="F470" s="71">
        <v>44494</v>
      </c>
      <c r="G470" s="71">
        <v>44494</v>
      </c>
      <c r="H470" s="71">
        <v>44494</v>
      </c>
      <c r="I470" s="313" t="str">
        <f>VLOOKUP(A470,URS確認!E:I,5,FALSE)</f>
        <v>陳昱衡</v>
      </c>
      <c r="L470" s="313" t="s">
        <v>1449</v>
      </c>
    </row>
    <row r="471" spans="1:13" hidden="1">
      <c r="A471" s="313" t="s">
        <v>884</v>
      </c>
      <c r="B471" s="69" t="str">
        <f>VLOOKUP(A471,URS確認!$E:$F,2,FALSE)</f>
        <v>結清客戶申請個人資料控管維護</v>
      </c>
      <c r="C471" s="313">
        <v>3</v>
      </c>
      <c r="D471" s="74" t="s">
        <v>1943</v>
      </c>
      <c r="E471" s="71">
        <v>44494</v>
      </c>
      <c r="F471" s="71">
        <v>44502</v>
      </c>
      <c r="G471" s="71">
        <v>44502</v>
      </c>
      <c r="H471" s="71">
        <v>44502</v>
      </c>
      <c r="I471" s="313" t="str">
        <f>VLOOKUP(A471,URS確認!E:I,5,FALSE)</f>
        <v>陳昱衡</v>
      </c>
      <c r="L471" s="313" t="s">
        <v>1449</v>
      </c>
    </row>
    <row r="472" spans="1:13" hidden="1">
      <c r="A472" s="313" t="s">
        <v>884</v>
      </c>
      <c r="B472" s="69" t="str">
        <f>VLOOKUP(A472,URS確認!$E:$F,2,FALSE)</f>
        <v>結清客戶申請個人資料控管維護</v>
      </c>
      <c r="C472" s="313">
        <v>4</v>
      </c>
      <c r="D472" s="74" t="s">
        <v>1944</v>
      </c>
      <c r="E472" s="71">
        <v>44494</v>
      </c>
      <c r="F472" s="71">
        <v>44503</v>
      </c>
      <c r="G472" s="71">
        <v>44503</v>
      </c>
      <c r="H472" s="71">
        <v>44503</v>
      </c>
      <c r="I472" s="313" t="str">
        <f>VLOOKUP(A472,URS確認!E:I,5,FALSE)</f>
        <v>陳昱衡</v>
      </c>
      <c r="L472" s="313" t="s">
        <v>1449</v>
      </c>
    </row>
    <row r="473" spans="1:13" hidden="1">
      <c r="A473" s="313" t="s">
        <v>884</v>
      </c>
      <c r="B473" s="69" t="str">
        <f>VLOOKUP(A473,URS確認!$E:$F,2,FALSE)</f>
        <v>結清客戶申請個人資料控管維護</v>
      </c>
      <c r="C473" s="313">
        <v>5</v>
      </c>
      <c r="D473" s="74" t="s">
        <v>1945</v>
      </c>
      <c r="E473" s="71">
        <v>44494</v>
      </c>
      <c r="F473" s="313"/>
      <c r="G473" s="313"/>
      <c r="I473" s="313" t="str">
        <f>VLOOKUP(A473,URS確認!E:I,5,FALSE)</f>
        <v>陳昱衡</v>
      </c>
      <c r="M473" s="313" t="s">
        <v>1465</v>
      </c>
    </row>
    <row r="474" spans="1:13" hidden="1">
      <c r="A474" s="313" t="s">
        <v>888</v>
      </c>
      <c r="B474" s="69" t="str">
        <f>VLOOKUP(A474,URS確認!$E:$F,2,FALSE)</f>
        <v xml:space="preserve">擔保品重評明細資料查詢                  </v>
      </c>
      <c r="C474" s="313">
        <v>1</v>
      </c>
      <c r="D474" s="74" t="s">
        <v>1946</v>
      </c>
      <c r="E474" s="71">
        <v>44494</v>
      </c>
      <c r="F474" s="71">
        <v>44494</v>
      </c>
      <c r="G474" s="71">
        <v>44494</v>
      </c>
      <c r="H474" s="71">
        <v>44494</v>
      </c>
      <c r="I474" s="313" t="str">
        <f>VLOOKUP(A474,URS確認!E:I,5,FALSE)</f>
        <v>陳昱衡</v>
      </c>
      <c r="L474" s="313" t="s">
        <v>1449</v>
      </c>
    </row>
    <row r="475" spans="1:13" ht="33" hidden="1" customHeight="1">
      <c r="A475" s="313" t="s">
        <v>888</v>
      </c>
      <c r="B475" s="69" t="str">
        <f>VLOOKUP(A475,URS確認!$E:$F,2,FALSE)</f>
        <v xml:space="preserve">擔保品重評明細資料查詢                  </v>
      </c>
      <c r="C475" s="313">
        <v>2</v>
      </c>
      <c r="D475" s="74" t="s">
        <v>1947</v>
      </c>
      <c r="E475" s="71">
        <v>44494</v>
      </c>
      <c r="F475" s="71">
        <v>44494</v>
      </c>
      <c r="G475" s="71">
        <v>44494</v>
      </c>
      <c r="H475" s="71">
        <v>44494</v>
      </c>
      <c r="I475" s="313" t="str">
        <f>VLOOKUP(A475,URS確認!E:I,5,FALSE)</f>
        <v>陳昱衡</v>
      </c>
      <c r="L475" s="313" t="s">
        <v>1449</v>
      </c>
    </row>
    <row r="476" spans="1:13" hidden="1">
      <c r="A476" s="313" t="s">
        <v>888</v>
      </c>
      <c r="B476" s="69" t="str">
        <f>VLOOKUP(A476,URS確認!$E:$F,2,FALSE)</f>
        <v xml:space="preserve">擔保品重評明細資料查詢                  </v>
      </c>
      <c r="C476" s="313">
        <v>3</v>
      </c>
      <c r="D476" s="74" t="s">
        <v>1948</v>
      </c>
      <c r="E476" s="71">
        <v>44494</v>
      </c>
      <c r="F476" s="71">
        <v>44494</v>
      </c>
      <c r="G476" s="71">
        <v>44494</v>
      </c>
      <c r="H476" s="71">
        <v>44494</v>
      </c>
      <c r="I476" s="313" t="str">
        <f>VLOOKUP(A476,URS確認!E:I,5,FALSE)</f>
        <v>陳昱衡</v>
      </c>
      <c r="L476" s="313" t="s">
        <v>1449</v>
      </c>
    </row>
    <row r="477" spans="1:13" hidden="1">
      <c r="A477" s="313" t="s">
        <v>282</v>
      </c>
      <c r="B477" s="69" t="str">
        <f>VLOOKUP(A477,URS確認!$E:$F,2,FALSE)</f>
        <v xml:space="preserve">不動產擔保品資料查詢                    </v>
      </c>
      <c r="C477" s="313">
        <v>1</v>
      </c>
      <c r="D477" s="74" t="s">
        <v>1949</v>
      </c>
      <c r="E477" s="71">
        <v>44494</v>
      </c>
      <c r="F477" s="71">
        <v>44494</v>
      </c>
      <c r="G477" s="71">
        <v>44494</v>
      </c>
      <c r="H477" s="71">
        <v>44494</v>
      </c>
      <c r="I477" s="313" t="str">
        <f>VLOOKUP(A477,URS確認!E:I,5,FALSE)</f>
        <v>陳昱衡</v>
      </c>
      <c r="L477" s="313" t="s">
        <v>1449</v>
      </c>
    </row>
    <row r="478" spans="1:13" hidden="1">
      <c r="A478" s="313" t="s">
        <v>299</v>
      </c>
      <c r="B478" s="69" t="str">
        <f>VLOOKUP(A478,URS確認!$E:$F,2,FALSE)</f>
        <v xml:space="preserve">額度與擔保品關聯查詢 </v>
      </c>
      <c r="C478" s="313">
        <v>1</v>
      </c>
      <c r="D478" s="74" t="s">
        <v>1950</v>
      </c>
      <c r="E478" s="71">
        <v>44494</v>
      </c>
      <c r="F478" s="71">
        <v>44494</v>
      </c>
      <c r="G478" s="71">
        <v>44494</v>
      </c>
      <c r="H478" s="71">
        <v>44494</v>
      </c>
      <c r="I478" s="313" t="str">
        <f>VLOOKUP(A478,URS確認!E:I,5,FALSE)</f>
        <v>陳昱衡</v>
      </c>
      <c r="L478" s="313" t="s">
        <v>1449</v>
      </c>
    </row>
    <row r="479" spans="1:13" hidden="1">
      <c r="A479" s="313" t="s">
        <v>891</v>
      </c>
      <c r="B479" s="69" t="str">
        <f>VLOOKUP(A479,URS確認!$E:$F,2,FALSE)</f>
        <v xml:space="preserve">擔保品重評資料登錄                      </v>
      </c>
      <c r="C479" s="313">
        <v>1</v>
      </c>
      <c r="D479" s="74" t="s">
        <v>1951</v>
      </c>
      <c r="E479" s="71">
        <v>44494</v>
      </c>
      <c r="F479" s="71">
        <v>44494</v>
      </c>
      <c r="G479" s="71">
        <v>44494</v>
      </c>
      <c r="H479" s="71">
        <v>44494</v>
      </c>
      <c r="I479" s="313" t="str">
        <f>VLOOKUP(A479,URS確認!E:I,5,FALSE)</f>
        <v>陳昱衡</v>
      </c>
      <c r="L479" s="313" t="s">
        <v>1449</v>
      </c>
    </row>
    <row r="480" spans="1:13" ht="49.5" hidden="1" customHeight="1">
      <c r="A480" s="313" t="s">
        <v>891</v>
      </c>
      <c r="B480" s="69" t="str">
        <f>VLOOKUP(A480,URS確認!$E:$F,2,FALSE)</f>
        <v xml:space="preserve">擔保品重評資料登錄                      </v>
      </c>
      <c r="C480" s="313">
        <v>2</v>
      </c>
      <c r="D480" s="74" t="s">
        <v>1952</v>
      </c>
      <c r="E480" s="71">
        <v>44494</v>
      </c>
      <c r="F480" s="71">
        <v>44503</v>
      </c>
      <c r="G480" s="71">
        <v>44503</v>
      </c>
      <c r="H480" s="71">
        <v>44503</v>
      </c>
      <c r="I480" s="313" t="str">
        <f>VLOOKUP(A480,URS確認!E:I,5,FALSE)</f>
        <v>陳昱衡</v>
      </c>
      <c r="M480" s="313" t="s">
        <v>1465</v>
      </c>
    </row>
    <row r="481" spans="1:13">
      <c r="A481" s="313" t="s">
        <v>420</v>
      </c>
      <c r="B481" s="69" t="str">
        <f>VLOOKUP(A481,URS確認!$E:$F,2,FALSE)</f>
        <v>業務關帳作業</v>
      </c>
      <c r="C481" s="313">
        <v>1</v>
      </c>
      <c r="D481" s="74" t="s">
        <v>1953</v>
      </c>
      <c r="E481" s="71">
        <v>44494</v>
      </c>
      <c r="F481" s="313"/>
      <c r="G481" s="313"/>
      <c r="I481" s="313" t="str">
        <f>VLOOKUP(A481,URS確認!E:I,5,FALSE)</f>
        <v>楊智誠</v>
      </c>
      <c r="M481" s="313" t="s">
        <v>1465</v>
      </c>
    </row>
    <row r="482" spans="1:13">
      <c r="A482" s="313" t="s">
        <v>420</v>
      </c>
      <c r="B482" s="69" t="str">
        <f>VLOOKUP(A482,URS確認!$E:$F,2,FALSE)</f>
        <v>業務關帳作業</v>
      </c>
      <c r="C482" s="313">
        <v>2</v>
      </c>
      <c r="D482" s="74" t="s">
        <v>1954</v>
      </c>
      <c r="E482" s="71">
        <v>44494</v>
      </c>
      <c r="F482" s="313"/>
      <c r="G482" s="313"/>
      <c r="I482" s="313" t="str">
        <f>VLOOKUP(A482,URS確認!E:I,5,FALSE)</f>
        <v>楊智誠</v>
      </c>
      <c r="M482" s="313" t="s">
        <v>1465</v>
      </c>
    </row>
    <row r="483" spans="1:13" hidden="1">
      <c r="A483" s="313" t="s">
        <v>894</v>
      </c>
      <c r="B483" s="69" t="str">
        <f>VLOOKUP(A483,URS確認!$E:$F,2,FALSE)</f>
        <v xml:space="preserve">案件處理清單         </v>
      </c>
      <c r="C483" s="313">
        <v>1</v>
      </c>
      <c r="D483" s="74" t="s">
        <v>1955</v>
      </c>
      <c r="E483" s="71">
        <v>44496</v>
      </c>
      <c r="F483" s="71">
        <v>44511</v>
      </c>
      <c r="I483" s="313" t="str">
        <f>VLOOKUP(A483,URS確認!E:I,5,FALSE)</f>
        <v>蘇曉玲</v>
      </c>
      <c r="M483" s="313" t="s">
        <v>1465</v>
      </c>
    </row>
    <row r="484" spans="1:13" hidden="1">
      <c r="A484" s="313" t="s">
        <v>898</v>
      </c>
      <c r="B484" s="69" t="str">
        <f>VLOOKUP(A484,URS確認!$E:$F,2,FALSE)</f>
        <v xml:space="preserve">電催明細資料查詢     </v>
      </c>
      <c r="C484" s="313">
        <v>1</v>
      </c>
      <c r="D484" s="74" t="s">
        <v>1956</v>
      </c>
      <c r="E484" s="71">
        <v>44496</v>
      </c>
      <c r="F484" s="71">
        <v>44497</v>
      </c>
      <c r="G484" s="71">
        <v>44497</v>
      </c>
      <c r="H484" s="71">
        <v>44497</v>
      </c>
      <c r="I484" s="313" t="str">
        <f>VLOOKUP(A484,URS確認!E:I,5,FALSE)</f>
        <v>蘇曉玲</v>
      </c>
      <c r="L484" s="313" t="s">
        <v>1449</v>
      </c>
    </row>
    <row r="485" spans="1:13" hidden="1">
      <c r="A485" s="313" t="s">
        <v>898</v>
      </c>
      <c r="B485" s="69" t="str">
        <f>VLOOKUP(A485,URS確認!$E:$F,2,FALSE)</f>
        <v xml:space="preserve">電催明細資料查詢     </v>
      </c>
      <c r="C485" s="313">
        <v>2</v>
      </c>
      <c r="D485" s="74" t="s">
        <v>1957</v>
      </c>
      <c r="E485" s="71">
        <v>44496</v>
      </c>
      <c r="F485" s="71">
        <v>44497</v>
      </c>
      <c r="G485" s="71">
        <v>44497</v>
      </c>
      <c r="H485" s="71">
        <v>44497</v>
      </c>
      <c r="I485" s="313" t="str">
        <f>VLOOKUP(A485,URS確認!E:I,5,FALSE)</f>
        <v>蘇曉玲</v>
      </c>
      <c r="L485" s="313" t="s">
        <v>1449</v>
      </c>
    </row>
    <row r="486" spans="1:13" hidden="1">
      <c r="A486" s="313" t="s">
        <v>902</v>
      </c>
      <c r="B486" s="69" t="str">
        <f>VLOOKUP(A486,URS確認!$E:$F,2,FALSE)</f>
        <v xml:space="preserve">面催明細資料查詢     </v>
      </c>
      <c r="C486" s="313">
        <v>1</v>
      </c>
      <c r="D486" s="74" t="s">
        <v>1956</v>
      </c>
      <c r="E486" s="71">
        <v>44496</v>
      </c>
      <c r="F486" s="71">
        <v>44497</v>
      </c>
      <c r="G486" s="71">
        <v>44497</v>
      </c>
      <c r="H486" s="71">
        <v>44497</v>
      </c>
      <c r="I486" s="313" t="str">
        <f>VLOOKUP(A486,URS確認!E:I,5,FALSE)</f>
        <v>蘇曉玲</v>
      </c>
      <c r="L486" s="313" t="s">
        <v>1449</v>
      </c>
    </row>
    <row r="487" spans="1:13" hidden="1">
      <c r="A487" s="313" t="s">
        <v>902</v>
      </c>
      <c r="B487" s="69" t="str">
        <f>VLOOKUP(A487,URS確認!$E:$F,2,FALSE)</f>
        <v xml:space="preserve">面催明細資料查詢     </v>
      </c>
      <c r="C487" s="313">
        <v>2</v>
      </c>
      <c r="D487" s="74" t="s">
        <v>1957</v>
      </c>
      <c r="E487" s="71">
        <v>44496</v>
      </c>
      <c r="F487" s="71">
        <v>44497</v>
      </c>
      <c r="G487" s="71">
        <v>44497</v>
      </c>
      <c r="H487" s="71">
        <v>44497</v>
      </c>
      <c r="I487" s="313" t="str">
        <f>VLOOKUP(A487,URS確認!E:I,5,FALSE)</f>
        <v>蘇曉玲</v>
      </c>
      <c r="L487" s="313" t="s">
        <v>1449</v>
      </c>
    </row>
    <row r="488" spans="1:13" hidden="1">
      <c r="A488" s="313" t="s">
        <v>902</v>
      </c>
      <c r="B488" s="69" t="str">
        <f>VLOOKUP(A488,URS確認!$E:$F,2,FALSE)</f>
        <v xml:space="preserve">面催明細資料查詢     </v>
      </c>
      <c r="C488" s="313">
        <v>3</v>
      </c>
      <c r="D488" s="74" t="s">
        <v>1958</v>
      </c>
      <c r="E488" s="71">
        <v>44496</v>
      </c>
      <c r="F488" s="71">
        <v>44497</v>
      </c>
      <c r="G488" s="71">
        <v>44497</v>
      </c>
      <c r="H488" s="71">
        <v>44497</v>
      </c>
      <c r="I488" s="313" t="str">
        <f>VLOOKUP(A488,URS確認!E:I,5,FALSE)</f>
        <v>蘇曉玲</v>
      </c>
      <c r="L488" s="313" t="s">
        <v>1449</v>
      </c>
    </row>
    <row r="489" spans="1:13" hidden="1">
      <c r="A489" s="313" t="s">
        <v>906</v>
      </c>
      <c r="B489" s="69" t="str">
        <f>VLOOKUP(A489,URS確認!$E:$F,2,FALSE)</f>
        <v xml:space="preserve">函催明細資料查詢     </v>
      </c>
      <c r="C489" s="313">
        <v>1</v>
      </c>
      <c r="D489" s="74" t="s">
        <v>1956</v>
      </c>
      <c r="E489" s="71">
        <v>44496</v>
      </c>
      <c r="F489" s="71">
        <v>44497</v>
      </c>
      <c r="G489" s="71">
        <v>44497</v>
      </c>
      <c r="H489" s="71">
        <v>44497</v>
      </c>
      <c r="I489" s="313" t="str">
        <f>VLOOKUP(A489,URS確認!E:I,5,FALSE)</f>
        <v>蘇曉玲</v>
      </c>
      <c r="L489" s="313" t="s">
        <v>1449</v>
      </c>
    </row>
    <row r="490" spans="1:13" hidden="1">
      <c r="A490" s="313" t="s">
        <v>906</v>
      </c>
      <c r="B490" s="69" t="str">
        <f>VLOOKUP(A490,URS確認!$E:$F,2,FALSE)</f>
        <v xml:space="preserve">函催明細資料查詢     </v>
      </c>
      <c r="C490" s="313">
        <v>2</v>
      </c>
      <c r="D490" s="74" t="s">
        <v>1957</v>
      </c>
      <c r="E490" s="71">
        <v>44496</v>
      </c>
      <c r="F490" s="71">
        <v>44497</v>
      </c>
      <c r="G490" s="71">
        <v>44497</v>
      </c>
      <c r="H490" s="71">
        <v>44497</v>
      </c>
      <c r="I490" s="313" t="str">
        <f>VLOOKUP(A490,URS確認!E:I,5,FALSE)</f>
        <v>蘇曉玲</v>
      </c>
      <c r="L490" s="313" t="s">
        <v>1449</v>
      </c>
    </row>
    <row r="491" spans="1:13" hidden="1">
      <c r="A491" s="313" t="s">
        <v>910</v>
      </c>
      <c r="B491" s="69" t="str">
        <f>VLOOKUP(A491,URS確認!$E:$F,2,FALSE)</f>
        <v xml:space="preserve">法務進度明細資料查詢 </v>
      </c>
      <c r="C491" s="313">
        <v>1</v>
      </c>
      <c r="D491" s="74" t="s">
        <v>1956</v>
      </c>
      <c r="E491" s="71">
        <v>44496</v>
      </c>
      <c r="F491" s="71">
        <v>44498</v>
      </c>
      <c r="G491" s="71">
        <v>44497</v>
      </c>
      <c r="H491" s="71">
        <v>44497</v>
      </c>
      <c r="I491" s="313" t="str">
        <f>VLOOKUP(A491,URS確認!E:I,5,FALSE)</f>
        <v>蘇曉玲</v>
      </c>
      <c r="L491" s="313" t="s">
        <v>1449</v>
      </c>
    </row>
    <row r="492" spans="1:13" hidden="1">
      <c r="A492" s="313" t="s">
        <v>910</v>
      </c>
      <c r="B492" s="69" t="str">
        <f>VLOOKUP(A492,URS確認!$E:$F,2,FALSE)</f>
        <v xml:space="preserve">法務進度明細資料查詢 </v>
      </c>
      <c r="C492" s="313">
        <v>2</v>
      </c>
      <c r="D492" s="74" t="s">
        <v>1957</v>
      </c>
      <c r="E492" s="71">
        <v>44496</v>
      </c>
      <c r="F492" s="71">
        <v>44498</v>
      </c>
      <c r="G492" s="71">
        <v>44497</v>
      </c>
      <c r="H492" s="71">
        <v>44497</v>
      </c>
      <c r="I492" s="313" t="str">
        <f>VLOOKUP(A492,URS確認!E:I,5,FALSE)</f>
        <v>蘇曉玲</v>
      </c>
      <c r="L492" s="313" t="s">
        <v>1449</v>
      </c>
    </row>
    <row r="493" spans="1:13" hidden="1">
      <c r="A493" s="313" t="s">
        <v>910</v>
      </c>
      <c r="B493" s="69" t="str">
        <f>VLOOKUP(A493,URS確認!$E:$F,2,FALSE)</f>
        <v xml:space="preserve">法務進度明細資料查詢 </v>
      </c>
      <c r="C493" s="313">
        <v>3</v>
      </c>
      <c r="D493" s="74" t="s">
        <v>1959</v>
      </c>
      <c r="E493" s="71">
        <v>44496</v>
      </c>
      <c r="F493" s="71">
        <v>44498</v>
      </c>
      <c r="G493" s="71">
        <v>44497</v>
      </c>
      <c r="H493" s="71">
        <v>44497</v>
      </c>
      <c r="I493" s="313" t="str">
        <f>VLOOKUP(A493,URS確認!E:I,5,FALSE)</f>
        <v>蘇曉玲</v>
      </c>
      <c r="L493" s="313" t="s">
        <v>1449</v>
      </c>
    </row>
    <row r="494" spans="1:13" hidden="1">
      <c r="A494" s="313" t="s">
        <v>914</v>
      </c>
      <c r="B494" s="69" t="str">
        <f>VLOOKUP(A494,URS確認!$E:$F,2,FALSE)</f>
        <v xml:space="preserve">提醒事項查詢         </v>
      </c>
      <c r="C494" s="313">
        <v>1</v>
      </c>
      <c r="D494" s="68" t="s">
        <v>1956</v>
      </c>
      <c r="E494" s="71">
        <v>44496</v>
      </c>
      <c r="F494" s="71">
        <v>44498</v>
      </c>
      <c r="G494" s="71">
        <v>44497</v>
      </c>
      <c r="H494" s="71">
        <v>44497</v>
      </c>
      <c r="I494" s="313" t="str">
        <f>VLOOKUP(A494,URS確認!E:I,5,FALSE)</f>
        <v>蘇曉玲</v>
      </c>
      <c r="L494" s="313" t="s">
        <v>1449</v>
      </c>
    </row>
    <row r="495" spans="1:13" hidden="1">
      <c r="A495" s="313" t="s">
        <v>914</v>
      </c>
      <c r="B495" s="69" t="str">
        <f>VLOOKUP(A495,URS確認!$E:$F,2,FALSE)</f>
        <v xml:space="preserve">提醒事項查詢         </v>
      </c>
      <c r="C495" s="313">
        <v>2</v>
      </c>
      <c r="D495" s="68" t="s">
        <v>1957</v>
      </c>
      <c r="E495" s="71">
        <v>44496</v>
      </c>
      <c r="F495" s="71">
        <v>44498</v>
      </c>
      <c r="G495" s="71">
        <v>44497</v>
      </c>
      <c r="H495" s="71">
        <v>44497</v>
      </c>
      <c r="I495" s="313" t="str">
        <f>VLOOKUP(A495,URS確認!E:I,5,FALSE)</f>
        <v>蘇曉玲</v>
      </c>
      <c r="L495" s="313" t="s">
        <v>1449</v>
      </c>
    </row>
    <row r="496" spans="1:13" hidden="1">
      <c r="A496" s="313" t="s">
        <v>914</v>
      </c>
      <c r="B496" s="69" t="str">
        <f>VLOOKUP(A496,URS確認!$E:$F,2,FALSE)</f>
        <v xml:space="preserve">提醒事項查詢         </v>
      </c>
      <c r="C496" s="313">
        <v>3</v>
      </c>
      <c r="D496" s="74" t="s">
        <v>1960</v>
      </c>
      <c r="E496" s="71">
        <v>44496</v>
      </c>
      <c r="F496" s="71">
        <v>44498</v>
      </c>
      <c r="G496" s="71">
        <v>44497</v>
      </c>
      <c r="H496" s="71">
        <v>44497</v>
      </c>
      <c r="I496" s="313" t="str">
        <f>VLOOKUP(A496,URS確認!E:I,5,FALSE)</f>
        <v>蘇曉玲</v>
      </c>
      <c r="L496" s="313" t="s">
        <v>1449</v>
      </c>
    </row>
    <row r="497" spans="1:13" hidden="1">
      <c r="A497" s="313" t="s">
        <v>900</v>
      </c>
      <c r="B497" s="69" t="str">
        <f>VLOOKUP(A497,URS確認!$E:$F,2,FALSE)</f>
        <v xml:space="preserve">電催登錄             </v>
      </c>
      <c r="C497" s="313">
        <v>1</v>
      </c>
      <c r="D497" s="74" t="s">
        <v>1961</v>
      </c>
      <c r="E497" s="71">
        <v>44496</v>
      </c>
      <c r="F497" s="71">
        <v>44503</v>
      </c>
      <c r="G497" s="71">
        <v>44503</v>
      </c>
      <c r="H497" s="71">
        <v>44504</v>
      </c>
      <c r="I497" s="313" t="str">
        <f>VLOOKUP(A497,URS確認!E:I,5,FALSE)</f>
        <v>蘇曉玲</v>
      </c>
      <c r="L497" s="313" t="s">
        <v>1449</v>
      </c>
    </row>
    <row r="498" spans="1:13" hidden="1">
      <c r="A498" s="313" t="s">
        <v>900</v>
      </c>
      <c r="B498" s="69" t="str">
        <f>VLOOKUP(A498,URS確認!$E:$F,2,FALSE)</f>
        <v xml:space="preserve">電催登錄             </v>
      </c>
      <c r="C498" s="313">
        <v>2</v>
      </c>
      <c r="D498" s="74" t="s">
        <v>1962</v>
      </c>
      <c r="E498" s="71">
        <v>44496</v>
      </c>
      <c r="F498" s="71">
        <v>44503</v>
      </c>
      <c r="G498" s="71">
        <v>44503</v>
      </c>
      <c r="H498" s="71">
        <v>44504</v>
      </c>
      <c r="I498" s="313" t="str">
        <f>VLOOKUP(A498,URS確認!E:I,5,FALSE)</f>
        <v>蘇曉玲</v>
      </c>
      <c r="L498" s="313" t="s">
        <v>1449</v>
      </c>
    </row>
    <row r="499" spans="1:13" ht="33" hidden="1" customHeight="1">
      <c r="A499" s="313" t="s">
        <v>904</v>
      </c>
      <c r="B499" s="69" t="str">
        <f>VLOOKUP(A499,URS確認!$E:$F,2,FALSE)</f>
        <v xml:space="preserve">面催登錄             </v>
      </c>
      <c r="C499" s="313">
        <v>1</v>
      </c>
      <c r="D499" s="74" t="s">
        <v>1963</v>
      </c>
      <c r="E499" s="71">
        <v>44496</v>
      </c>
      <c r="F499" s="71">
        <v>44511</v>
      </c>
      <c r="G499" s="71">
        <v>44503</v>
      </c>
      <c r="H499" s="71">
        <v>44504</v>
      </c>
      <c r="I499" s="313" t="str">
        <f>VLOOKUP(A499,URS確認!E:I,5,FALSE)</f>
        <v>蘇曉玲</v>
      </c>
      <c r="L499" s="313" t="s">
        <v>1449</v>
      </c>
    </row>
    <row r="500" spans="1:13" hidden="1">
      <c r="A500" s="313" t="s">
        <v>904</v>
      </c>
      <c r="B500" s="69" t="str">
        <f>VLOOKUP(A500,URS確認!$E:$F,2,FALSE)</f>
        <v xml:space="preserve">面催登錄             </v>
      </c>
      <c r="C500" s="313">
        <v>2</v>
      </c>
      <c r="D500" s="74" t="s">
        <v>1962</v>
      </c>
      <c r="E500" s="71">
        <v>44496</v>
      </c>
      <c r="F500" s="71">
        <v>44511</v>
      </c>
      <c r="G500" s="71">
        <v>44503</v>
      </c>
      <c r="H500" s="71">
        <v>44504</v>
      </c>
      <c r="I500" s="313" t="str">
        <f>VLOOKUP(A500,URS確認!E:I,5,FALSE)</f>
        <v>蘇曉玲</v>
      </c>
      <c r="L500" s="313" t="s">
        <v>1449</v>
      </c>
    </row>
    <row r="501" spans="1:13" hidden="1">
      <c r="A501" s="313" t="s">
        <v>904</v>
      </c>
      <c r="B501" s="69" t="str">
        <f>VLOOKUP(A501,URS確認!$E:$F,2,FALSE)</f>
        <v xml:space="preserve">面催登錄             </v>
      </c>
      <c r="C501" s="313">
        <v>3</v>
      </c>
      <c r="D501" s="74" t="s">
        <v>1964</v>
      </c>
      <c r="E501" s="71">
        <v>44496</v>
      </c>
      <c r="F501" s="71">
        <v>44511</v>
      </c>
      <c r="G501" s="71">
        <v>44503</v>
      </c>
      <c r="H501" s="71">
        <v>44504</v>
      </c>
      <c r="I501" s="313" t="str">
        <f>VLOOKUP(A501,URS確認!E:I,5,FALSE)</f>
        <v>蘇曉玲</v>
      </c>
      <c r="L501" s="313" t="s">
        <v>1449</v>
      </c>
    </row>
    <row r="502" spans="1:13" ht="33" hidden="1" customHeight="1">
      <c r="A502" s="313" t="s">
        <v>904</v>
      </c>
      <c r="B502" s="69" t="str">
        <f>VLOOKUP(A502,URS確認!$E:$F,2,FALSE)</f>
        <v xml:space="preserve">面催登錄             </v>
      </c>
      <c r="C502" s="313">
        <v>4</v>
      </c>
      <c r="D502" s="220" t="s">
        <v>1965</v>
      </c>
      <c r="E502" s="71">
        <v>44496</v>
      </c>
      <c r="F502" s="71">
        <v>44511</v>
      </c>
      <c r="G502" s="71">
        <v>44503</v>
      </c>
      <c r="H502" s="71">
        <v>44504</v>
      </c>
      <c r="I502" s="313" t="str">
        <f>VLOOKUP(A502,URS確認!E:I,5,FALSE)</f>
        <v>蘇曉玲</v>
      </c>
      <c r="M502" s="313" t="s">
        <v>1465</v>
      </c>
    </row>
    <row r="503" spans="1:13" hidden="1">
      <c r="A503" s="313" t="s">
        <v>904</v>
      </c>
      <c r="B503" s="69" t="str">
        <f>VLOOKUP(A503,URS確認!$E:$F,2,FALSE)</f>
        <v xml:space="preserve">面催登錄             </v>
      </c>
      <c r="C503" s="313">
        <v>5</v>
      </c>
      <c r="D503" s="74" t="s">
        <v>1966</v>
      </c>
      <c r="E503" s="71">
        <v>44496</v>
      </c>
      <c r="F503" s="71">
        <v>44511</v>
      </c>
      <c r="G503" s="71">
        <v>44503</v>
      </c>
      <c r="H503" s="71">
        <v>44504</v>
      </c>
      <c r="I503" s="313" t="str">
        <f>VLOOKUP(A503,URS確認!E:I,5,FALSE)</f>
        <v>蘇曉玲</v>
      </c>
      <c r="L503" s="313" t="s">
        <v>1449</v>
      </c>
    </row>
    <row r="504" spans="1:13" hidden="1">
      <c r="A504" s="313" t="s">
        <v>908</v>
      </c>
      <c r="B504" s="69" t="str">
        <f>VLOOKUP(A504,URS確認!$E:$F,2,FALSE)</f>
        <v xml:space="preserve">函催登錄             </v>
      </c>
      <c r="C504" s="313">
        <v>1</v>
      </c>
      <c r="D504" s="74" t="s">
        <v>1961</v>
      </c>
      <c r="E504" s="71">
        <v>44496</v>
      </c>
      <c r="F504" s="71">
        <v>44503</v>
      </c>
      <c r="G504" s="71">
        <v>44503</v>
      </c>
      <c r="H504" s="71">
        <v>44504</v>
      </c>
      <c r="I504" s="313" t="str">
        <f>VLOOKUP(A504,URS確認!E:I,5,FALSE)</f>
        <v>蘇曉玲</v>
      </c>
      <c r="L504" s="313" t="s">
        <v>1449</v>
      </c>
    </row>
    <row r="505" spans="1:13" hidden="1">
      <c r="A505" s="313" t="s">
        <v>908</v>
      </c>
      <c r="B505" s="69" t="str">
        <f>VLOOKUP(A505,URS確認!$E:$F,2,FALSE)</f>
        <v xml:space="preserve">函催登錄             </v>
      </c>
      <c r="C505" s="313">
        <v>2</v>
      </c>
      <c r="D505" s="74" t="s">
        <v>1962</v>
      </c>
      <c r="E505" s="71">
        <v>44496</v>
      </c>
      <c r="F505" s="71">
        <v>44503</v>
      </c>
      <c r="G505" s="71">
        <v>44503</v>
      </c>
      <c r="H505" s="71">
        <v>44504</v>
      </c>
      <c r="I505" s="313" t="str">
        <f>VLOOKUP(A505,URS確認!E:I,5,FALSE)</f>
        <v>蘇曉玲</v>
      </c>
      <c r="L505" s="313" t="s">
        <v>1449</v>
      </c>
    </row>
    <row r="506" spans="1:13" hidden="1">
      <c r="A506" s="313" t="s">
        <v>912</v>
      </c>
      <c r="B506" s="69" t="str">
        <f>VLOOKUP(A506,URS確認!$E:$F,2,FALSE)</f>
        <v xml:space="preserve">法務進度登錄         </v>
      </c>
      <c r="C506" s="313">
        <v>1</v>
      </c>
      <c r="D506" s="74" t="s">
        <v>1961</v>
      </c>
      <c r="E506" s="71">
        <v>44496</v>
      </c>
      <c r="F506" s="71">
        <v>44511</v>
      </c>
      <c r="G506" s="71">
        <v>44504</v>
      </c>
      <c r="H506" s="71">
        <v>44504</v>
      </c>
      <c r="I506" s="313" t="str">
        <f>VLOOKUP(A506,URS確認!E:I,5,FALSE)</f>
        <v>蘇曉玲</v>
      </c>
      <c r="L506" s="313" t="s">
        <v>1449</v>
      </c>
    </row>
    <row r="507" spans="1:13" hidden="1">
      <c r="A507" s="313" t="s">
        <v>912</v>
      </c>
      <c r="B507" s="69" t="str">
        <f>VLOOKUP(A507,URS確認!$E:$F,2,FALSE)</f>
        <v xml:space="preserve">法務進度登錄         </v>
      </c>
      <c r="C507" s="313">
        <v>2</v>
      </c>
      <c r="D507" s="74" t="s">
        <v>1962</v>
      </c>
      <c r="E507" s="71">
        <v>44496</v>
      </c>
      <c r="F507" s="71">
        <v>44511</v>
      </c>
      <c r="G507" s="71">
        <v>44504</v>
      </c>
      <c r="H507" s="71">
        <v>44504</v>
      </c>
      <c r="I507" s="313" t="str">
        <f>VLOOKUP(A507,URS確認!E:I,5,FALSE)</f>
        <v>蘇曉玲</v>
      </c>
      <c r="L507" s="313" t="s">
        <v>1449</v>
      </c>
    </row>
    <row r="508" spans="1:13" hidden="1">
      <c r="A508" s="313" t="s">
        <v>912</v>
      </c>
      <c r="B508" s="69" t="str">
        <f>VLOOKUP(A508,URS確認!$E:$F,2,FALSE)</f>
        <v xml:space="preserve">法務進度登錄         </v>
      </c>
      <c r="C508" s="313">
        <v>3</v>
      </c>
      <c r="D508" s="74" t="s">
        <v>1967</v>
      </c>
      <c r="E508" s="71">
        <v>44496</v>
      </c>
      <c r="F508" s="71">
        <v>44511</v>
      </c>
      <c r="G508" s="71">
        <v>44504</v>
      </c>
      <c r="H508" s="71">
        <v>44504</v>
      </c>
      <c r="I508" s="313" t="str">
        <f>VLOOKUP(A508,URS確認!E:I,5,FALSE)</f>
        <v>蘇曉玲</v>
      </c>
      <c r="M508" s="313" t="s">
        <v>1465</v>
      </c>
    </row>
    <row r="509" spans="1:13" hidden="1">
      <c r="A509" s="313" t="s">
        <v>912</v>
      </c>
      <c r="B509" s="69" t="str">
        <f>VLOOKUP(A509,URS確認!$E:$F,2,FALSE)</f>
        <v xml:space="preserve">法務進度登錄         </v>
      </c>
      <c r="C509" s="313">
        <v>4</v>
      </c>
      <c r="D509" s="74" t="s">
        <v>1968</v>
      </c>
      <c r="E509" s="71">
        <v>44496</v>
      </c>
      <c r="F509" s="71">
        <v>44511</v>
      </c>
      <c r="G509" s="71">
        <v>44504</v>
      </c>
      <c r="H509" s="71">
        <v>44504</v>
      </c>
      <c r="I509" s="415" t="str">
        <f>VLOOKUP(A509,URS確認!E:I,5,FALSE)</f>
        <v>蘇曉玲</v>
      </c>
      <c r="M509" s="313" t="s">
        <v>1465</v>
      </c>
    </row>
    <row r="510" spans="1:13" hidden="1">
      <c r="A510" s="313" t="s">
        <v>916</v>
      </c>
      <c r="B510" s="69" t="str">
        <f>VLOOKUP(A510,URS確認!$E:$F,2,FALSE)</f>
        <v xml:space="preserve">提醒事項登錄         </v>
      </c>
      <c r="C510" s="313">
        <v>1</v>
      </c>
      <c r="D510" s="74" t="s">
        <v>1969</v>
      </c>
      <c r="E510" s="71">
        <v>44496</v>
      </c>
      <c r="F510" s="71">
        <v>44503</v>
      </c>
      <c r="G510" s="71">
        <v>44501</v>
      </c>
      <c r="H510" s="71">
        <v>44501</v>
      </c>
      <c r="I510" s="415" t="str">
        <f>VLOOKUP(A510,URS確認!E:I,5,FALSE)</f>
        <v>蘇曉玲</v>
      </c>
      <c r="L510" s="313" t="s">
        <v>1449</v>
      </c>
    </row>
    <row r="511" spans="1:13" hidden="1">
      <c r="A511" s="313" t="s">
        <v>916</v>
      </c>
      <c r="B511" s="69" t="str">
        <f>VLOOKUP(A511,URS確認!$E:$F,2,FALSE)</f>
        <v xml:space="preserve">提醒事項登錄         </v>
      </c>
      <c r="C511" s="313">
        <v>2</v>
      </c>
      <c r="D511" s="74" t="s">
        <v>1970</v>
      </c>
      <c r="E511" s="71">
        <v>44496</v>
      </c>
      <c r="F511" s="71">
        <v>44503</v>
      </c>
      <c r="G511" s="71">
        <v>44501</v>
      </c>
      <c r="H511" s="71">
        <v>44501</v>
      </c>
      <c r="I511" s="415" t="str">
        <f>VLOOKUP(A511,URS確認!E:I,5,FALSE)</f>
        <v>蘇曉玲</v>
      </c>
      <c r="L511" s="313" t="s">
        <v>1449</v>
      </c>
    </row>
    <row r="512" spans="1:13" hidden="1">
      <c r="A512" s="313" t="s">
        <v>916</v>
      </c>
      <c r="B512" s="69" t="str">
        <f>VLOOKUP(A512,URS確認!$E:$F,2,FALSE)</f>
        <v xml:space="preserve">提醒事項登錄         </v>
      </c>
      <c r="C512" s="313">
        <v>3</v>
      </c>
      <c r="D512" s="74" t="s">
        <v>1971</v>
      </c>
      <c r="E512" s="71">
        <v>44496</v>
      </c>
      <c r="F512" s="71">
        <v>44503</v>
      </c>
      <c r="G512" s="71">
        <v>44501</v>
      </c>
      <c r="H512" s="71">
        <v>44501</v>
      </c>
      <c r="I512" s="415" t="str">
        <f>VLOOKUP(A512,URS確認!E:I,5,FALSE)</f>
        <v>蘇曉玲</v>
      </c>
      <c r="L512" s="313" t="s">
        <v>1449</v>
      </c>
    </row>
    <row r="513" spans="1:13" hidden="1">
      <c r="A513" s="313" t="s">
        <v>918</v>
      </c>
      <c r="B513" s="69" t="str">
        <f>VLOOKUP(A513,URS確認!$E:$F,2,FALSE)</f>
        <v>催收催繳明細</v>
      </c>
      <c r="C513" s="313">
        <v>1</v>
      </c>
      <c r="D513" s="74" t="s">
        <v>1972</v>
      </c>
      <c r="E513" s="71">
        <v>44496</v>
      </c>
      <c r="F513" s="71">
        <v>44511</v>
      </c>
      <c r="G513" s="71">
        <v>44498</v>
      </c>
      <c r="H513" s="71">
        <v>44501</v>
      </c>
      <c r="I513" s="415" t="str">
        <f>VLOOKUP(A513,URS確認!E:I,5,FALSE)</f>
        <v>蘇曉玲</v>
      </c>
      <c r="M513" s="313" t="s">
        <v>1465</v>
      </c>
    </row>
    <row r="514" spans="1:13" hidden="1">
      <c r="A514" s="313" t="s">
        <v>983</v>
      </c>
      <c r="B514" s="69" t="str">
        <f>VLOOKUP(A514,URS確認!$E:$F,2,FALSE)</f>
        <v>授信審議委員會會議紀錄明細資料查詢</v>
      </c>
      <c r="C514" s="313">
        <v>1</v>
      </c>
      <c r="D514" s="74" t="s">
        <v>1973</v>
      </c>
      <c r="E514" s="71">
        <v>44496</v>
      </c>
      <c r="I514" s="415" t="s">
        <v>2839</v>
      </c>
    </row>
    <row r="515" spans="1:13" hidden="1">
      <c r="A515" s="313" t="s">
        <v>983</v>
      </c>
      <c r="B515" s="69" t="str">
        <f>VLOOKUP(A515,URS確認!$E:$F,2,FALSE)</f>
        <v>授信審議委員會會議紀錄明細資料查詢</v>
      </c>
      <c r="C515" s="313">
        <v>2</v>
      </c>
      <c r="D515" s="74" t="s">
        <v>1974</v>
      </c>
      <c r="E515" s="71">
        <v>44496</v>
      </c>
      <c r="I515" s="418" t="s">
        <v>2839</v>
      </c>
    </row>
    <row r="516" spans="1:13" hidden="1">
      <c r="A516" s="313" t="s">
        <v>983</v>
      </c>
      <c r="B516" s="69" t="str">
        <f>VLOOKUP(A516,URS確認!$E:$F,2,FALSE)</f>
        <v>授信審議委員會會議紀錄明細資料查詢</v>
      </c>
      <c r="C516" s="313">
        <v>3</v>
      </c>
      <c r="D516" s="74" t="s">
        <v>1975</v>
      </c>
      <c r="E516" s="71">
        <v>44496</v>
      </c>
      <c r="I516" s="418" t="s">
        <v>2839</v>
      </c>
    </row>
    <row r="517" spans="1:13" hidden="1">
      <c r="A517" s="313" t="s">
        <v>987</v>
      </c>
      <c r="B517" s="69" t="str">
        <f>VLOOKUP(A517,URS確認!$E:$F,2,FALSE)</f>
        <v>授信審議委員會會議紀錄維護</v>
      </c>
      <c r="C517" s="313">
        <v>1</v>
      </c>
      <c r="D517" s="74" t="s">
        <v>1973</v>
      </c>
      <c r="E517" s="71">
        <v>44496</v>
      </c>
      <c r="I517" s="418" t="s">
        <v>2839</v>
      </c>
    </row>
    <row r="518" spans="1:13" hidden="1">
      <c r="A518" s="313" t="s">
        <v>987</v>
      </c>
      <c r="B518" s="69" t="str">
        <f>VLOOKUP(A518,URS確認!$E:$F,2,FALSE)</f>
        <v>授信審議委員會會議紀錄維護</v>
      </c>
      <c r="C518" s="313">
        <v>2</v>
      </c>
      <c r="D518" s="74" t="s">
        <v>1976</v>
      </c>
      <c r="E518" s="71">
        <v>44496</v>
      </c>
      <c r="I518" s="418" t="s">
        <v>2839</v>
      </c>
    </row>
    <row r="519" spans="1:13" hidden="1">
      <c r="A519" s="313" t="s">
        <v>987</v>
      </c>
      <c r="B519" s="69" t="str">
        <f>VLOOKUP(A519,URS確認!$E:$F,2,FALSE)</f>
        <v>授信審議委員會會議紀錄維護</v>
      </c>
      <c r="C519" s="313">
        <v>3</v>
      </c>
      <c r="D519" s="74" t="s">
        <v>1977</v>
      </c>
      <c r="E519" s="71">
        <v>44496</v>
      </c>
      <c r="I519" s="418" t="s">
        <v>2839</v>
      </c>
    </row>
    <row r="520" spans="1:13" ht="34.049999999999997" hidden="1" customHeight="1">
      <c r="A520" s="313" t="s">
        <v>999</v>
      </c>
      <c r="B520" s="69" t="str">
        <f>VLOOKUP(A520,URS確認!$E:$F,2,FALSE)</f>
        <v>覆審案件明細檔查詢</v>
      </c>
      <c r="C520" s="313">
        <v>1</v>
      </c>
      <c r="D520" s="74" t="s">
        <v>1978</v>
      </c>
      <c r="E520" s="71">
        <v>44496</v>
      </c>
      <c r="I520" s="415" t="str">
        <f>VLOOKUP(A520,URS確認!E:I,5,FALSE)</f>
        <v>張嘉榮</v>
      </c>
    </row>
    <row r="521" spans="1:13" hidden="1">
      <c r="A521" s="313" t="s">
        <v>999</v>
      </c>
      <c r="B521" s="69" t="str">
        <f>VLOOKUP(A521,URS確認!$E:$F,2,FALSE)</f>
        <v>覆審案件明細檔查詢</v>
      </c>
      <c r="C521" s="313">
        <v>2</v>
      </c>
      <c r="D521" s="74" t="s">
        <v>1979</v>
      </c>
      <c r="E521" s="71">
        <v>44496</v>
      </c>
      <c r="I521" s="415" t="str">
        <f>VLOOKUP(A521,URS確認!E:I,5,FALSE)</f>
        <v>張嘉榮</v>
      </c>
    </row>
    <row r="522" spans="1:13" hidden="1">
      <c r="A522" s="313" t="s">
        <v>999</v>
      </c>
      <c r="B522" s="69" t="str">
        <f>VLOOKUP(A522,URS確認!$E:$F,2,FALSE)</f>
        <v>覆審案件明細檔查詢</v>
      </c>
      <c r="C522" s="313">
        <v>3</v>
      </c>
      <c r="D522" s="74" t="s">
        <v>1980</v>
      </c>
      <c r="E522" s="71">
        <v>44496</v>
      </c>
      <c r="I522" s="415" t="str">
        <f>VLOOKUP(A522,URS確認!E:I,5,FALSE)</f>
        <v>張嘉榮</v>
      </c>
    </row>
    <row r="523" spans="1:13" hidden="1">
      <c r="A523" s="313" t="s">
        <v>1001</v>
      </c>
      <c r="B523" s="69" t="str">
        <f>VLOOKUP(A523,URS確認!$E:$F,2,FALSE)</f>
        <v>覆審案件明細檔維護</v>
      </c>
      <c r="C523" s="313">
        <v>1</v>
      </c>
      <c r="D523" s="74" t="s">
        <v>1981</v>
      </c>
      <c r="E523" s="71">
        <v>44496</v>
      </c>
      <c r="I523" s="415" t="str">
        <f>VLOOKUP(A523,URS確認!E:I,5,FALSE)</f>
        <v>張嘉榮</v>
      </c>
    </row>
    <row r="524" spans="1:13" hidden="1">
      <c r="A524" s="313" t="s">
        <v>1001</v>
      </c>
      <c r="B524" s="69" t="str">
        <f>VLOOKUP(A524,URS確認!$E:$F,2,FALSE)</f>
        <v>覆審案件明細檔維護</v>
      </c>
      <c r="C524" s="313">
        <v>2</v>
      </c>
      <c r="D524" s="74" t="s">
        <v>1982</v>
      </c>
      <c r="E524" s="71">
        <v>44496</v>
      </c>
      <c r="I524" s="415" t="str">
        <f>VLOOKUP(A524,URS確認!E:I,5,FALSE)</f>
        <v>張嘉榮</v>
      </c>
    </row>
    <row r="525" spans="1:13">
      <c r="A525" s="313" t="s">
        <v>2811</v>
      </c>
      <c r="B525" s="69" t="str">
        <f>VLOOKUP(A525,URS確認!$E:$F,2,FALSE)</f>
        <v xml:space="preserve">資金運用概況維護                      </v>
      </c>
      <c r="C525" s="313">
        <v>1</v>
      </c>
      <c r="D525" s="74" t="s">
        <v>2812</v>
      </c>
      <c r="E525" s="71">
        <v>44505</v>
      </c>
      <c r="F525" s="71">
        <v>44518</v>
      </c>
      <c r="G525" s="71">
        <v>44518</v>
      </c>
      <c r="H525" s="71">
        <v>44518</v>
      </c>
      <c r="I525" s="415" t="str">
        <f>VLOOKUP(A525,URS確認!E:I,5,FALSE)</f>
        <v>楊智誠</v>
      </c>
    </row>
    <row r="526" spans="1:13">
      <c r="A526" s="313" t="s">
        <v>2813</v>
      </c>
      <c r="B526" s="69" t="str">
        <f>VLOOKUP(A526,URS確認!$E:$F,2,FALSE)</f>
        <v xml:space="preserve">檔案借閱明細資料查詢                  </v>
      </c>
      <c r="C526" s="313">
        <v>1</v>
      </c>
      <c r="D526" s="74" t="s">
        <v>2814</v>
      </c>
      <c r="E526" s="71">
        <v>44505</v>
      </c>
      <c r="F526" s="71">
        <v>44518</v>
      </c>
      <c r="G526" s="71">
        <v>44518</v>
      </c>
      <c r="H526" s="71">
        <v>44518</v>
      </c>
      <c r="I526" s="415" t="str">
        <f>VLOOKUP(A526,URS確認!E:I,5,FALSE)</f>
        <v>楊智誠</v>
      </c>
    </row>
    <row r="527" spans="1:13">
      <c r="A527" s="415" t="s">
        <v>2813</v>
      </c>
      <c r="B527" s="69" t="str">
        <f>VLOOKUP(A527,URS確認!$E:$F,2,FALSE)</f>
        <v xml:space="preserve">檔案借閱明細資料查詢                  </v>
      </c>
      <c r="C527" s="313">
        <v>2</v>
      </c>
      <c r="D527" s="74" t="s">
        <v>2815</v>
      </c>
      <c r="E527" s="71">
        <v>44505</v>
      </c>
      <c r="F527" s="71">
        <v>44518</v>
      </c>
      <c r="G527" s="71">
        <v>44518</v>
      </c>
      <c r="H527" s="71">
        <v>44518</v>
      </c>
      <c r="I527" s="415" t="str">
        <f>VLOOKUP(A527,URS確認!E:I,5,FALSE)</f>
        <v>楊智誠</v>
      </c>
    </row>
    <row r="528" spans="1:13">
      <c r="A528" s="313" t="s">
        <v>2816</v>
      </c>
      <c r="B528" s="69" t="str">
        <f>VLOOKUP(A528,URS確認!$E:$F,2,FALSE)</f>
        <v xml:space="preserve">檔案借閱維護                          </v>
      </c>
      <c r="C528" s="313">
        <v>1</v>
      </c>
      <c r="D528" s="74" t="s">
        <v>2817</v>
      </c>
      <c r="E528" s="71">
        <v>44505</v>
      </c>
      <c r="F528" s="71">
        <v>44518</v>
      </c>
      <c r="G528" s="71">
        <v>44518</v>
      </c>
      <c r="H528" s="71">
        <v>44518</v>
      </c>
      <c r="I528" s="415" t="str">
        <f>VLOOKUP(A528,URS確認!E:I,5,FALSE)</f>
        <v>楊智誠</v>
      </c>
    </row>
    <row r="529" spans="1:9">
      <c r="A529" s="415" t="s">
        <v>2816</v>
      </c>
      <c r="B529" s="69" t="str">
        <f>VLOOKUP(A529,URS確認!$E:$F,2,FALSE)</f>
        <v xml:space="preserve">檔案借閱維護                          </v>
      </c>
      <c r="C529" s="313">
        <v>2</v>
      </c>
      <c r="D529" s="74" t="s">
        <v>2818</v>
      </c>
      <c r="E529" s="71">
        <v>44505</v>
      </c>
      <c r="I529" s="415" t="str">
        <f>VLOOKUP(A529,URS確認!E:I,5,FALSE)</f>
        <v>楊智誠</v>
      </c>
    </row>
    <row r="530" spans="1:9">
      <c r="A530" s="313" t="s">
        <v>2819</v>
      </c>
      <c r="B530" s="69" t="str">
        <f>VLOOKUP(A530,URS確認!$E:$F,2,FALSE)</f>
        <v xml:space="preserve">檔案借閱報表作業(列印)                </v>
      </c>
      <c r="C530" s="313">
        <v>1</v>
      </c>
      <c r="D530" s="74" t="s">
        <v>2820</v>
      </c>
      <c r="E530" s="71">
        <v>44505</v>
      </c>
      <c r="F530" s="71">
        <v>44518</v>
      </c>
      <c r="G530" s="71">
        <v>44518</v>
      </c>
      <c r="H530" s="71">
        <v>44518</v>
      </c>
      <c r="I530" s="415" t="str">
        <f>VLOOKUP(A530,URS確認!E:I,5,FALSE)</f>
        <v>楊智誠</v>
      </c>
    </row>
    <row r="531" spans="1:9">
      <c r="A531" s="415" t="s">
        <v>2819</v>
      </c>
      <c r="B531" s="69" t="str">
        <f>VLOOKUP(A531,URS確認!$E:$F,2,FALSE)</f>
        <v xml:space="preserve">檔案借閱報表作業(列印)                </v>
      </c>
      <c r="C531" s="313">
        <v>2</v>
      </c>
      <c r="D531" s="74" t="s">
        <v>2821</v>
      </c>
      <c r="E531" s="71">
        <v>44505</v>
      </c>
      <c r="F531" s="71">
        <v>44518</v>
      </c>
      <c r="G531" s="71">
        <v>44518</v>
      </c>
      <c r="H531" s="71">
        <v>44518</v>
      </c>
      <c r="I531" s="415" t="str">
        <f>VLOOKUP(A531,URS確認!E:I,5,FALSE)</f>
        <v>楊智誠</v>
      </c>
    </row>
    <row r="532" spans="1:9">
      <c r="A532" s="415" t="s">
        <v>2819</v>
      </c>
      <c r="B532" s="69" t="str">
        <f>VLOOKUP(A532,URS確認!$E:$F,2,FALSE)</f>
        <v xml:space="preserve">檔案借閱報表作業(列印)                </v>
      </c>
      <c r="C532" s="313">
        <v>3</v>
      </c>
      <c r="D532" s="74" t="s">
        <v>2822</v>
      </c>
      <c r="E532" s="71">
        <v>44505</v>
      </c>
      <c r="F532" s="71">
        <v>44518</v>
      </c>
      <c r="G532" s="71">
        <v>44518</v>
      </c>
      <c r="H532" s="71">
        <v>44518</v>
      </c>
      <c r="I532" s="415" t="str">
        <f>VLOOKUP(A532,URS確認!E:I,5,FALSE)</f>
        <v>楊智誠</v>
      </c>
    </row>
    <row r="533" spans="1:9" ht="32.4">
      <c r="A533" s="415" t="s">
        <v>2819</v>
      </c>
      <c r="B533" s="69" t="str">
        <f>VLOOKUP(A533,URS確認!$E:$F,2,FALSE)</f>
        <v xml:space="preserve">檔案借閱報表作業(列印)                </v>
      </c>
      <c r="C533" s="313">
        <v>4</v>
      </c>
      <c r="D533" s="74" t="s">
        <v>2823</v>
      </c>
      <c r="E533" s="71">
        <v>44505</v>
      </c>
      <c r="F533" s="71">
        <v>44518</v>
      </c>
      <c r="G533" s="71">
        <v>44518</v>
      </c>
      <c r="H533" s="71">
        <v>44518</v>
      </c>
      <c r="I533" s="415" t="str">
        <f>VLOOKUP(A533,URS確認!E:I,5,FALSE)</f>
        <v>楊智誠</v>
      </c>
    </row>
    <row r="534" spans="1:9">
      <c r="A534" s="415" t="s">
        <v>2819</v>
      </c>
      <c r="B534" s="69" t="str">
        <f>VLOOKUP(A534,URS確認!$E:$F,2,FALSE)</f>
        <v xml:space="preserve">檔案借閱報表作業(列印)                </v>
      </c>
      <c r="C534" s="313">
        <v>5</v>
      </c>
      <c r="D534" s="74" t="s">
        <v>2824</v>
      </c>
      <c r="E534" s="71">
        <v>44505</v>
      </c>
      <c r="F534" s="71">
        <v>44518</v>
      </c>
      <c r="G534" s="71">
        <v>44518</v>
      </c>
      <c r="H534" s="71">
        <v>44518</v>
      </c>
      <c r="I534" s="415" t="str">
        <f>VLOOKUP(A534,URS確認!E:I,5,FALSE)</f>
        <v>楊智誠</v>
      </c>
    </row>
    <row r="535" spans="1:9">
      <c r="A535" s="415" t="s">
        <v>2819</v>
      </c>
      <c r="B535" s="69" t="str">
        <f>VLOOKUP(A535,URS確認!$E:$F,2,FALSE)</f>
        <v xml:space="preserve">檔案借閱報表作業(列印)                </v>
      </c>
      <c r="C535" s="313">
        <v>6</v>
      </c>
      <c r="D535" s="74" t="s">
        <v>2825</v>
      </c>
      <c r="E535" s="71">
        <v>44505</v>
      </c>
      <c r="F535" s="71">
        <v>44518</v>
      </c>
      <c r="G535" s="71">
        <v>44518</v>
      </c>
      <c r="H535" s="71">
        <v>44518</v>
      </c>
      <c r="I535" s="415" t="str">
        <f>VLOOKUP(A535,URS確認!E:I,5,FALSE)</f>
        <v>楊智誠</v>
      </c>
    </row>
    <row r="536" spans="1:9" hidden="1">
      <c r="A536" s="313" t="s">
        <v>2826</v>
      </c>
      <c r="B536" s="69" t="s">
        <v>2827</v>
      </c>
      <c r="C536" s="313">
        <v>1</v>
      </c>
      <c r="D536" s="74" t="s">
        <v>2828</v>
      </c>
      <c r="E536" s="71">
        <v>44505</v>
      </c>
      <c r="I536" s="415"/>
    </row>
    <row r="537" spans="1:9" hidden="1">
      <c r="A537" s="313" t="s">
        <v>2829</v>
      </c>
      <c r="B537" s="69" t="str">
        <f>VLOOKUP(A537,URS確認!$E:$F,2,FALSE)</f>
        <v>領取清償證明作業</v>
      </c>
      <c r="C537" s="313">
        <v>1</v>
      </c>
      <c r="D537" s="74" t="s">
        <v>2830</v>
      </c>
      <c r="E537" s="71">
        <v>44505</v>
      </c>
      <c r="I537" s="415" t="str">
        <f>VLOOKUP(A537,URS確認!E:I,5,FALSE)</f>
        <v>余家興</v>
      </c>
    </row>
    <row r="538" spans="1:9" hidden="1">
      <c r="A538" s="313" t="s">
        <v>2831</v>
      </c>
      <c r="B538" s="69" t="str">
        <f>VLOOKUP(A538,URS確認!$E:$F,2,FALSE)</f>
        <v>(574)更生款項統一收付結案通知資料</v>
      </c>
      <c r="C538" s="313">
        <v>1</v>
      </c>
      <c r="D538" s="68" t="s">
        <v>2832</v>
      </c>
      <c r="E538" s="71">
        <v>44517</v>
      </c>
      <c r="I538" s="417" t="str">
        <f>VLOOKUP(A538,URS確認!E:I,5,FALSE)</f>
        <v>張嘉榮</v>
      </c>
    </row>
    <row r="539" spans="1:9" hidden="1">
      <c r="A539" s="313" t="s">
        <v>2833</v>
      </c>
      <c r="B539" s="69" t="s">
        <v>2838</v>
      </c>
      <c r="C539" s="313">
        <v>1</v>
      </c>
      <c r="D539" s="74" t="s">
        <v>2834</v>
      </c>
      <c r="E539" s="71">
        <v>44517</v>
      </c>
      <c r="I539" s="313" t="s">
        <v>2839</v>
      </c>
    </row>
    <row r="540" spans="1:9" hidden="1">
      <c r="B540" s="69" t="s">
        <v>2838</v>
      </c>
      <c r="C540" s="313">
        <v>2</v>
      </c>
      <c r="D540" s="74" t="s">
        <v>2836</v>
      </c>
      <c r="E540" s="71">
        <v>44517</v>
      </c>
      <c r="I540" s="417" t="s">
        <v>2839</v>
      </c>
    </row>
    <row r="541" spans="1:9" hidden="1">
      <c r="B541" s="69" t="s">
        <v>2838</v>
      </c>
      <c r="C541" s="313">
        <v>3</v>
      </c>
      <c r="D541" s="74" t="s">
        <v>2835</v>
      </c>
      <c r="E541" s="71">
        <v>44517</v>
      </c>
      <c r="I541" s="417" t="s">
        <v>2839</v>
      </c>
    </row>
    <row r="542" spans="1:9" hidden="1">
      <c r="B542" s="69" t="s">
        <v>2838</v>
      </c>
      <c r="C542" s="313">
        <v>4</v>
      </c>
      <c r="D542" s="74" t="s">
        <v>2837</v>
      </c>
      <c r="E542" s="71">
        <v>44517</v>
      </c>
      <c r="I542" s="417" t="s">
        <v>2839</v>
      </c>
    </row>
  </sheetData>
  <autoFilter ref="A1:Q542" xr:uid="{00000000-0009-0000-0000-000006000000}">
    <filterColumn colId="8">
      <filters>
        <filter val="楊智誠"/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9"/>
  <sheetViews>
    <sheetView workbookViewId="0">
      <selection activeCell="B3" sqref="B3:B219"/>
    </sheetView>
  </sheetViews>
  <sheetFormatPr defaultRowHeight="15"/>
  <cols>
    <col min="3" max="3" width="10.25" style="300" bestFit="1" customWidth="1"/>
    <col min="4" max="4" width="11.625" style="363" bestFit="1" customWidth="1"/>
    <col min="5" max="5" width="50.75" style="300" customWidth="1"/>
    <col min="6" max="6" width="10.25" style="300" bestFit="1" customWidth="1"/>
    <col min="7" max="7" width="10.25" bestFit="1" customWidth="1"/>
  </cols>
  <sheetData>
    <row r="1" spans="1:8">
      <c r="A1" t="s">
        <v>1983</v>
      </c>
      <c r="B1" t="s">
        <v>1431</v>
      </c>
    </row>
    <row r="3" spans="1:8">
      <c r="B3" t="s">
        <v>1018</v>
      </c>
      <c r="C3" t="str">
        <f t="shared" ref="C3:C29" si="0">IF(FIND("連結",E3)&gt;0,"連結",FIND("連結",E3))</f>
        <v>連結</v>
      </c>
      <c r="D3" s="363" t="str">
        <f t="shared" ref="D3:D29" si="1">MID(E3,FIND("L",E3),5)</f>
        <v>L6752</v>
      </c>
      <c r="E3" t="s">
        <v>1450</v>
      </c>
      <c r="F3" t="e">
        <f>FIND(E3,"合")</f>
        <v>#VALUE!</v>
      </c>
      <c r="G3" t="e">
        <f>MID(H3,FIND("L",H3),5)</f>
        <v>#VALUE!</v>
      </c>
      <c r="H3" t="s">
        <v>1998</v>
      </c>
    </row>
    <row r="4" spans="1:8">
      <c r="B4" t="s">
        <v>1023</v>
      </c>
      <c r="C4" t="str">
        <f t="shared" si="0"/>
        <v>連結</v>
      </c>
      <c r="D4" s="363" t="str">
        <f t="shared" si="1"/>
        <v>L6082</v>
      </c>
      <c r="E4" t="s">
        <v>1452</v>
      </c>
      <c r="G4" s="300" t="str">
        <f t="shared" ref="G4:G67" si="2">MID(H4,FIND("L",H4),5)</f>
        <v>L6083</v>
      </c>
      <c r="H4" t="s">
        <v>2000</v>
      </c>
    </row>
    <row r="5" spans="1:8">
      <c r="B5" t="s">
        <v>1026</v>
      </c>
      <c r="C5" t="e">
        <f t="shared" si="0"/>
        <v>#VALUE!</v>
      </c>
      <c r="D5" s="363" t="str">
        <f t="shared" si="1"/>
        <v>L6041</v>
      </c>
      <c r="E5" t="s">
        <v>1460</v>
      </c>
      <c r="G5" s="300" t="str">
        <f t="shared" si="2"/>
        <v>L6753</v>
      </c>
      <c r="H5" t="s">
        <v>2002</v>
      </c>
    </row>
    <row r="6" spans="1:8">
      <c r="B6" t="s">
        <v>1028</v>
      </c>
      <c r="C6" t="e">
        <f t="shared" si="0"/>
        <v>#VALUE!</v>
      </c>
      <c r="D6" s="363" t="str">
        <f t="shared" si="1"/>
        <v>L5022</v>
      </c>
      <c r="E6" t="s">
        <v>1474</v>
      </c>
      <c r="G6" s="300" t="str">
        <f t="shared" si="2"/>
        <v>L6754</v>
      </c>
      <c r="H6" t="s">
        <v>2003</v>
      </c>
    </row>
    <row r="7" spans="1:8">
      <c r="B7" t="s">
        <v>1030</v>
      </c>
      <c r="C7" t="e">
        <f t="shared" si="0"/>
        <v>#VALUE!</v>
      </c>
      <c r="D7" s="363" t="str">
        <f t="shared" si="1"/>
        <v>L6503</v>
      </c>
      <c r="E7" t="s">
        <v>1475</v>
      </c>
      <c r="G7" s="300" t="str">
        <f t="shared" si="2"/>
        <v>L1101</v>
      </c>
      <c r="H7" t="s">
        <v>2006</v>
      </c>
    </row>
    <row r="8" spans="1:8">
      <c r="B8" t="s">
        <v>1038</v>
      </c>
      <c r="C8" t="e">
        <f t="shared" si="0"/>
        <v>#VALUE!</v>
      </c>
      <c r="D8" s="363" t="str">
        <f t="shared" si="1"/>
        <v>L5051</v>
      </c>
      <c r="E8" t="s">
        <v>1496</v>
      </c>
      <c r="G8" s="300" t="str">
        <f t="shared" si="2"/>
        <v>L1101</v>
      </c>
      <c r="H8" t="s">
        <v>2009</v>
      </c>
    </row>
    <row r="9" spans="1:8">
      <c r="B9" t="s">
        <v>1032</v>
      </c>
      <c r="C9" t="e">
        <f t="shared" si="0"/>
        <v>#VALUE!</v>
      </c>
      <c r="D9" s="363" t="str">
        <f t="shared" si="1"/>
        <v>L5052</v>
      </c>
      <c r="E9" t="s">
        <v>1498</v>
      </c>
      <c r="G9" s="300" t="e">
        <f t="shared" si="2"/>
        <v>#VALUE!</v>
      </c>
      <c r="H9" t="s">
        <v>2011</v>
      </c>
    </row>
    <row r="10" spans="1:8">
      <c r="B10" t="s">
        <v>1034</v>
      </c>
      <c r="C10" t="e">
        <f t="shared" si="0"/>
        <v>#VALUE!</v>
      </c>
      <c r="D10" s="363" t="str">
        <f t="shared" si="1"/>
        <v>L1001</v>
      </c>
      <c r="E10" t="s">
        <v>1505</v>
      </c>
      <c r="G10" s="300" t="str">
        <f t="shared" si="2"/>
        <v>L2111</v>
      </c>
      <c r="H10" t="s">
        <v>2013</v>
      </c>
    </row>
    <row r="11" spans="1:8">
      <c r="B11" t="s">
        <v>1040</v>
      </c>
      <c r="C11" t="e">
        <f t="shared" si="0"/>
        <v>#VALUE!</v>
      </c>
      <c r="D11" s="363" t="str">
        <f t="shared" si="1"/>
        <v>L1109</v>
      </c>
      <c r="E11" t="s">
        <v>1517</v>
      </c>
      <c r="G11" s="300" t="str">
        <f t="shared" si="2"/>
        <v>L功能,待</v>
      </c>
      <c r="H11" t="s">
        <v>1484</v>
      </c>
    </row>
    <row r="12" spans="1:8">
      <c r="B12" t="s">
        <v>1044</v>
      </c>
      <c r="C12" t="str">
        <f t="shared" si="0"/>
        <v>連結</v>
      </c>
      <c r="D12" s="363" t="str">
        <f t="shared" si="1"/>
        <v>L1105</v>
      </c>
      <c r="E12" t="s">
        <v>1518</v>
      </c>
      <c r="G12" s="300" t="e">
        <f t="shared" si="2"/>
        <v>#VALUE!</v>
      </c>
      <c r="H12" t="s">
        <v>1488</v>
      </c>
    </row>
    <row r="13" spans="1:8">
      <c r="B13" t="s">
        <v>1062</v>
      </c>
      <c r="C13" t="e">
        <f t="shared" si="0"/>
        <v>#VALUE!</v>
      </c>
      <c r="D13" s="363" t="str">
        <f t="shared" si="1"/>
        <v>L1101</v>
      </c>
      <c r="E13" t="s">
        <v>1522</v>
      </c>
      <c r="G13" s="300" t="str">
        <f t="shared" si="2"/>
        <v>L2111</v>
      </c>
      <c r="H13" t="s">
        <v>2016</v>
      </c>
    </row>
    <row r="14" spans="1:8">
      <c r="B14" t="s">
        <v>1066</v>
      </c>
      <c r="C14" t="e">
        <f t="shared" si="0"/>
        <v>#VALUE!</v>
      </c>
      <c r="D14" s="363" t="str">
        <f t="shared" si="1"/>
        <v>L1101</v>
      </c>
      <c r="E14" t="s">
        <v>1524</v>
      </c>
      <c r="G14" s="300" t="str">
        <f t="shared" si="2"/>
        <v>L5951</v>
      </c>
      <c r="H14" t="s">
        <v>2017</v>
      </c>
    </row>
    <row r="15" spans="1:8">
      <c r="B15" t="s">
        <v>1068</v>
      </c>
      <c r="C15" t="e">
        <f t="shared" si="0"/>
        <v>#VALUE!</v>
      </c>
      <c r="D15" s="363" t="str">
        <f t="shared" si="1"/>
        <v>L1101</v>
      </c>
      <c r="E15" t="s">
        <v>1525</v>
      </c>
      <c r="G15" s="300" t="str">
        <f t="shared" si="2"/>
        <v>L5952</v>
      </c>
      <c r="H15" t="s">
        <v>2019</v>
      </c>
    </row>
    <row r="16" spans="1:8">
      <c r="B16" t="s">
        <v>1054</v>
      </c>
      <c r="C16" t="e">
        <f t="shared" si="0"/>
        <v>#VALUE!</v>
      </c>
      <c r="D16" s="363" t="str">
        <f t="shared" si="1"/>
        <v>L2017</v>
      </c>
      <c r="E16" t="s">
        <v>1529</v>
      </c>
      <c r="G16" s="300" t="e">
        <f t="shared" si="2"/>
        <v>#VALUE!</v>
      </c>
      <c r="H16" t="s">
        <v>2020</v>
      </c>
    </row>
    <row r="17" spans="2:8">
      <c r="B17" t="s">
        <v>1056</v>
      </c>
      <c r="C17" t="e">
        <f t="shared" si="0"/>
        <v>#VALUE!</v>
      </c>
      <c r="D17" s="363" t="str">
        <f t="shared" si="1"/>
        <v>L6608</v>
      </c>
      <c r="E17" t="s">
        <v>1535</v>
      </c>
      <c r="G17" s="300" t="str">
        <f t="shared" si="2"/>
        <v>L1105</v>
      </c>
      <c r="H17" t="s">
        <v>2022</v>
      </c>
    </row>
    <row r="18" spans="2:8">
      <c r="B18" t="s">
        <v>1058</v>
      </c>
      <c r="C18" t="e">
        <f t="shared" si="0"/>
        <v>#VALUE!</v>
      </c>
      <c r="D18" s="363" t="str">
        <f t="shared" si="1"/>
        <v>LOAN於</v>
      </c>
      <c r="E18" t="s">
        <v>1539</v>
      </c>
      <c r="G18" s="300" t="e">
        <f t="shared" si="2"/>
        <v>#VALUE!</v>
      </c>
      <c r="H18" t="s">
        <v>2024</v>
      </c>
    </row>
    <row r="19" spans="2:8">
      <c r="B19" t="s">
        <v>1095</v>
      </c>
      <c r="C19" t="e">
        <f t="shared" si="0"/>
        <v>#VALUE!</v>
      </c>
      <c r="D19" s="363" t="str">
        <f t="shared" si="1"/>
        <v>L1109</v>
      </c>
      <c r="E19" t="s">
        <v>1545</v>
      </c>
      <c r="G19" s="300" t="str">
        <f t="shared" si="2"/>
        <v>LOAN作</v>
      </c>
      <c r="H19" t="s">
        <v>2026</v>
      </c>
    </row>
    <row r="20" spans="2:8">
      <c r="B20" t="s">
        <v>342</v>
      </c>
      <c r="C20" t="str">
        <f t="shared" si="0"/>
        <v>連結</v>
      </c>
      <c r="D20" s="363" t="str">
        <f t="shared" si="1"/>
        <v>L1105</v>
      </c>
      <c r="E20" t="s">
        <v>1547</v>
      </c>
      <c r="G20" s="300" t="str">
        <f t="shared" si="2"/>
        <v>L2801</v>
      </c>
      <c r="H20" t="s">
        <v>2028</v>
      </c>
    </row>
    <row r="21" spans="2:8">
      <c r="B21" t="s">
        <v>1415</v>
      </c>
      <c r="C21" t="e">
        <f t="shared" si="0"/>
        <v>#VALUE!</v>
      </c>
      <c r="D21" s="363" t="str">
        <f t="shared" si="1"/>
        <v>L1102</v>
      </c>
      <c r="E21" t="s">
        <v>1548</v>
      </c>
      <c r="G21" s="300" t="str">
        <f t="shared" si="2"/>
        <v>LOAN亦</v>
      </c>
      <c r="H21" t="s">
        <v>2029</v>
      </c>
    </row>
    <row r="22" spans="2:8">
      <c r="B22" t="s">
        <v>1418</v>
      </c>
      <c r="C22" t="e">
        <f t="shared" si="0"/>
        <v>#VALUE!</v>
      </c>
      <c r="D22" s="363" t="str">
        <f t="shared" si="1"/>
        <v>L1102</v>
      </c>
      <c r="E22" t="s">
        <v>1549</v>
      </c>
      <c r="G22" s="300" t="str">
        <f t="shared" si="2"/>
        <v>L範例</v>
      </c>
      <c r="H22" t="s">
        <v>2030</v>
      </c>
    </row>
    <row r="23" spans="2:8">
      <c r="B23" t="s">
        <v>1499</v>
      </c>
      <c r="C23" t="e">
        <f t="shared" si="0"/>
        <v>#VALUE!</v>
      </c>
      <c r="D23" s="363" t="str">
        <f t="shared" si="1"/>
        <v>L1102</v>
      </c>
      <c r="E23" t="s">
        <v>1550</v>
      </c>
      <c r="G23" s="300" t="e">
        <f t="shared" si="2"/>
        <v>#VALUE!</v>
      </c>
      <c r="H23" t="s">
        <v>2031</v>
      </c>
    </row>
    <row r="24" spans="2:8">
      <c r="B24" t="s">
        <v>1503</v>
      </c>
      <c r="C24" t="e">
        <f t="shared" si="0"/>
        <v>#VALUE!</v>
      </c>
      <c r="D24" s="363" t="str">
        <f t="shared" si="1"/>
        <v>L2306</v>
      </c>
      <c r="E24" t="s">
        <v>1552</v>
      </c>
      <c r="G24" s="300" t="str">
        <f t="shared" si="2"/>
        <v>L2801</v>
      </c>
      <c r="H24" t="s">
        <v>2033</v>
      </c>
    </row>
    <row r="25" spans="2:8">
      <c r="B25" t="s">
        <v>145</v>
      </c>
      <c r="C25" t="e">
        <f t="shared" si="0"/>
        <v>#VALUE!</v>
      </c>
      <c r="D25" s="363" t="str">
        <f t="shared" si="1"/>
        <v>L2306</v>
      </c>
      <c r="E25" t="s">
        <v>1553</v>
      </c>
      <c r="G25" s="300" t="e">
        <f t="shared" si="2"/>
        <v>#VALUE!</v>
      </c>
      <c r="H25" t="s">
        <v>2035</v>
      </c>
    </row>
    <row r="26" spans="2:8">
      <c r="B26" t="s">
        <v>150</v>
      </c>
      <c r="C26" t="e">
        <f t="shared" si="0"/>
        <v>#VALUE!</v>
      </c>
      <c r="D26" s="363" t="str">
        <f t="shared" si="1"/>
        <v>L2306</v>
      </c>
      <c r="E26" t="s">
        <v>1554</v>
      </c>
      <c r="G26" s="300" t="str">
        <f t="shared" si="2"/>
        <v>L1105</v>
      </c>
      <c r="H26" t="s">
        <v>2037</v>
      </c>
    </row>
    <row r="27" spans="2:8">
      <c r="B27" t="s">
        <v>157</v>
      </c>
      <c r="C27" t="e">
        <f t="shared" si="0"/>
        <v>#VALUE!</v>
      </c>
      <c r="D27" s="363" t="str">
        <f t="shared" si="1"/>
        <v>L2153</v>
      </c>
      <c r="E27" t="s">
        <v>1569</v>
      </c>
      <c r="G27" s="300" t="e">
        <f t="shared" si="2"/>
        <v>#VALUE!</v>
      </c>
      <c r="H27" t="s">
        <v>2040</v>
      </c>
    </row>
    <row r="28" spans="2:8">
      <c r="B28" t="s">
        <v>172</v>
      </c>
      <c r="C28" t="str">
        <f t="shared" si="0"/>
        <v>連結</v>
      </c>
      <c r="D28" s="363" t="str">
        <f t="shared" si="1"/>
        <v>L2151</v>
      </c>
      <c r="E28" t="s">
        <v>1573</v>
      </c>
      <c r="G28" s="300" t="e">
        <f t="shared" si="2"/>
        <v>#VALUE!</v>
      </c>
      <c r="H28" t="s">
        <v>2042</v>
      </c>
    </row>
    <row r="29" spans="2:8">
      <c r="B29" t="s">
        <v>299</v>
      </c>
      <c r="C29" t="e">
        <f t="shared" si="0"/>
        <v>#VALUE!</v>
      </c>
      <c r="D29" s="363" t="str">
        <f t="shared" si="1"/>
        <v>LOAN作</v>
      </c>
      <c r="E29" t="s">
        <v>1575</v>
      </c>
      <c r="G29" s="300" t="e">
        <f t="shared" si="2"/>
        <v>#VALUE!</v>
      </c>
      <c r="H29" t="s">
        <v>2044</v>
      </c>
    </row>
    <row r="30" spans="2:8">
      <c r="B30" t="s">
        <v>174</v>
      </c>
      <c r="C30" t="e">
        <f t="shared" ref="C30:C61" si="3">IF(FIND("連結",E30)&gt;0,"連結",FIND("連結",E30))</f>
        <v>#VALUE!</v>
      </c>
      <c r="D30" s="363" t="str">
        <f t="shared" ref="D30:D61" si="4">MID(E30,FIND("L",E30),5)</f>
        <v>LOAN規</v>
      </c>
      <c r="E30" t="s">
        <v>1579</v>
      </c>
      <c r="G30" s="300" t="e">
        <f t="shared" si="2"/>
        <v>#VALUE!</v>
      </c>
      <c r="H30" t="s">
        <v>2045</v>
      </c>
    </row>
    <row r="31" spans="2:8">
      <c r="B31" t="s">
        <v>178</v>
      </c>
      <c r="C31" t="e">
        <f t="shared" si="3"/>
        <v>#VALUE!</v>
      </c>
      <c r="D31" s="363" t="str">
        <f t="shared" si="4"/>
        <v>L2111</v>
      </c>
      <c r="E31" t="s">
        <v>1582</v>
      </c>
      <c r="G31" s="300" t="e">
        <f t="shared" si="2"/>
        <v>#VALUE!</v>
      </c>
      <c r="H31" t="s">
        <v>2048</v>
      </c>
    </row>
    <row r="32" spans="2:8">
      <c r="B32" t="s">
        <v>183</v>
      </c>
      <c r="C32" t="e">
        <f t="shared" si="3"/>
        <v>#VALUE!</v>
      </c>
      <c r="D32" s="363" t="str">
        <f t="shared" si="4"/>
        <v>L2101</v>
      </c>
      <c r="E32" t="s">
        <v>1588</v>
      </c>
      <c r="G32" s="300" t="str">
        <f t="shared" si="2"/>
        <v>L5500</v>
      </c>
      <c r="H32" t="s">
        <v>2049</v>
      </c>
    </row>
    <row r="33" spans="2:8">
      <c r="B33" t="s">
        <v>154</v>
      </c>
      <c r="C33" t="e">
        <f t="shared" si="3"/>
        <v>#VALUE!</v>
      </c>
      <c r="D33" s="363" t="str">
        <f t="shared" si="4"/>
        <v>L3701</v>
      </c>
      <c r="E33" t="s">
        <v>1595</v>
      </c>
      <c r="G33" s="300" t="e">
        <f t="shared" si="2"/>
        <v>#VALUE!</v>
      </c>
      <c r="H33" t="s">
        <v>2050</v>
      </c>
    </row>
    <row r="34" spans="2:8">
      <c r="B34" t="s">
        <v>161</v>
      </c>
      <c r="C34" t="e">
        <f t="shared" si="3"/>
        <v>#VALUE!</v>
      </c>
      <c r="D34" s="363" t="str">
        <f t="shared" si="4"/>
        <v>L3701</v>
      </c>
      <c r="E34" t="s">
        <v>1601</v>
      </c>
      <c r="G34" s="300" t="str">
        <f t="shared" si="2"/>
        <v>L2111</v>
      </c>
      <c r="H34" t="s">
        <v>2051</v>
      </c>
    </row>
    <row r="35" spans="2:8">
      <c r="B35" t="s">
        <v>1389</v>
      </c>
      <c r="C35" t="e">
        <f t="shared" si="3"/>
        <v>#VALUE!</v>
      </c>
      <c r="D35" s="363" t="str">
        <f t="shared" si="4"/>
        <v>L通知
(</v>
      </c>
      <c r="E35" t="s">
        <v>1610</v>
      </c>
      <c r="G35" s="300" t="str">
        <f t="shared" si="2"/>
        <v>L3701</v>
      </c>
      <c r="H35" t="s">
        <v>1989</v>
      </c>
    </row>
    <row r="36" spans="2:8">
      <c r="B36" t="s">
        <v>1555</v>
      </c>
      <c r="C36" t="e">
        <f t="shared" si="3"/>
        <v>#VALUE!</v>
      </c>
      <c r="D36" s="363" t="str">
        <f t="shared" si="4"/>
        <v>L2801</v>
      </c>
      <c r="E36" t="s">
        <v>1616</v>
      </c>
      <c r="G36" s="300" t="str">
        <f t="shared" si="2"/>
        <v>L2154</v>
      </c>
      <c r="H36" t="s">
        <v>1987</v>
      </c>
    </row>
    <row r="37" spans="2:8">
      <c r="B37" t="s">
        <v>848</v>
      </c>
      <c r="C37" t="e">
        <f t="shared" si="3"/>
        <v>#VALUE!</v>
      </c>
      <c r="D37" s="363" t="str">
        <f t="shared" si="4"/>
        <v>L1101</v>
      </c>
      <c r="E37" t="s">
        <v>1624</v>
      </c>
      <c r="G37" s="300" t="str">
        <f t="shared" si="2"/>
        <v>L2111</v>
      </c>
      <c r="H37" t="s">
        <v>2054</v>
      </c>
    </row>
    <row r="38" spans="2:8">
      <c r="B38" t="s">
        <v>850</v>
      </c>
      <c r="C38" t="str">
        <f t="shared" si="3"/>
        <v>連結</v>
      </c>
      <c r="D38" s="363" t="str">
        <f t="shared" si="4"/>
        <v>LOAN共</v>
      </c>
      <c r="E38" t="s">
        <v>1628</v>
      </c>
      <c r="G38" s="300" t="str">
        <f t="shared" si="2"/>
        <v>L2221</v>
      </c>
      <c r="H38" t="s">
        <v>2055</v>
      </c>
    </row>
    <row r="39" spans="2:8">
      <c r="B39" t="s">
        <v>207</v>
      </c>
      <c r="C39" t="e">
        <f t="shared" si="3"/>
        <v>#VALUE!</v>
      </c>
      <c r="D39" s="363" t="str">
        <f t="shared" si="4"/>
        <v>LOAN現</v>
      </c>
      <c r="E39" t="s">
        <v>1629</v>
      </c>
      <c r="G39" s="300" t="str">
        <f t="shared" si="2"/>
        <v>L表,供整</v>
      </c>
      <c r="H39" t="s">
        <v>2056</v>
      </c>
    </row>
    <row r="40" spans="2:8">
      <c r="B40" t="s">
        <v>211</v>
      </c>
      <c r="C40" t="e">
        <f t="shared" si="3"/>
        <v>#VALUE!</v>
      </c>
      <c r="D40" s="363" t="str">
        <f t="shared" si="4"/>
        <v>LOAN規</v>
      </c>
      <c r="E40" t="s">
        <v>1631</v>
      </c>
      <c r="G40" s="300" t="e">
        <f t="shared" si="2"/>
        <v>#VALUE!</v>
      </c>
      <c r="H40" t="s">
        <v>2058</v>
      </c>
    </row>
    <row r="41" spans="2:8">
      <c r="B41" t="s">
        <v>215</v>
      </c>
      <c r="C41" t="e">
        <f t="shared" si="3"/>
        <v>#VALUE!</v>
      </c>
      <c r="D41" s="363" t="str">
        <f t="shared" si="4"/>
        <v>LOAN於</v>
      </c>
      <c r="E41" t="s">
        <v>1632</v>
      </c>
      <c r="G41" s="300" t="e">
        <f t="shared" si="2"/>
        <v>#VALUE!</v>
      </c>
      <c r="H41" t="s">
        <v>2059</v>
      </c>
    </row>
    <row r="42" spans="2:8">
      <c r="B42" t="s">
        <v>218</v>
      </c>
      <c r="C42" t="e">
        <f t="shared" si="3"/>
        <v>#VALUE!</v>
      </c>
      <c r="D42" s="363" t="str">
        <f t="shared" si="4"/>
        <v>L表[整批</v>
      </c>
      <c r="E42" t="s">
        <v>1635</v>
      </c>
      <c r="G42" s="300" t="str">
        <f t="shared" si="2"/>
        <v>L2038</v>
      </c>
      <c r="H42" t="s">
        <v>2060</v>
      </c>
    </row>
    <row r="43" spans="2:8">
      <c r="B43" t="s">
        <v>224</v>
      </c>
      <c r="C43" t="e">
        <f t="shared" si="3"/>
        <v>#VALUE!</v>
      </c>
      <c r="D43" s="363" t="str">
        <f t="shared" si="4"/>
        <v>LOAN輸</v>
      </c>
      <c r="E43" t="s">
        <v>1637</v>
      </c>
      <c r="G43" s="300" t="str">
        <f t="shared" si="2"/>
        <v>L2221</v>
      </c>
      <c r="H43" t="s">
        <v>2061</v>
      </c>
    </row>
    <row r="44" spans="2:8">
      <c r="B44" t="s">
        <v>227</v>
      </c>
      <c r="C44" t="str">
        <f t="shared" si="3"/>
        <v>連結</v>
      </c>
      <c r="D44" s="363" t="str">
        <f t="shared" si="4"/>
        <v>L4610</v>
      </c>
      <c r="E44" t="s">
        <v>1642</v>
      </c>
      <c r="G44" s="300" t="e">
        <f t="shared" si="2"/>
        <v>#VALUE!</v>
      </c>
      <c r="H44" t="s">
        <v>2062</v>
      </c>
    </row>
    <row r="45" spans="2:8">
      <c r="B45" t="s">
        <v>230</v>
      </c>
      <c r="C45" t="str">
        <f t="shared" si="3"/>
        <v>連結</v>
      </c>
      <c r="D45" s="363" t="str">
        <f t="shared" si="4"/>
        <v>L4060</v>
      </c>
      <c r="E45" t="s">
        <v>1645</v>
      </c>
      <c r="G45" s="300" t="e">
        <f t="shared" si="2"/>
        <v>#VALUE!</v>
      </c>
      <c r="H45" t="s">
        <v>2063</v>
      </c>
    </row>
    <row r="46" spans="2:8">
      <c r="B46" t="s">
        <v>233</v>
      </c>
      <c r="C46" t="e">
        <f t="shared" si="3"/>
        <v>#VALUE!</v>
      </c>
      <c r="D46" s="363" t="str">
        <f t="shared" si="4"/>
        <v>L2911</v>
      </c>
      <c r="E46" t="s">
        <v>1646</v>
      </c>
      <c r="G46" s="300" t="e">
        <f t="shared" si="2"/>
        <v>#VALUE!</v>
      </c>
      <c r="H46" t="s">
        <v>2064</v>
      </c>
    </row>
    <row r="47" spans="2:8">
      <c r="B47" t="s">
        <v>1605</v>
      </c>
      <c r="C47" t="e">
        <f t="shared" si="3"/>
        <v>#VALUE!</v>
      </c>
      <c r="D47" s="363" t="str">
        <f t="shared" si="4"/>
        <v>L2911</v>
      </c>
      <c r="E47" t="s">
        <v>1647</v>
      </c>
      <c r="G47" s="300" t="e">
        <f t="shared" si="2"/>
        <v>#VALUE!</v>
      </c>
      <c r="H47" t="s">
        <v>2065</v>
      </c>
    </row>
    <row r="48" spans="2:8">
      <c r="B48" t="s">
        <v>250</v>
      </c>
      <c r="C48" t="e">
        <f t="shared" si="3"/>
        <v>#VALUE!</v>
      </c>
      <c r="D48" s="363" t="str">
        <f t="shared" si="4"/>
        <v>L1101</v>
      </c>
      <c r="E48" t="s">
        <v>1648</v>
      </c>
      <c r="G48" s="300" t="e">
        <f t="shared" si="2"/>
        <v>#VALUE!</v>
      </c>
      <c r="H48" t="s">
        <v>2068</v>
      </c>
    </row>
    <row r="49" spans="2:8">
      <c r="B49" t="s">
        <v>252</v>
      </c>
      <c r="C49" t="e">
        <f t="shared" si="3"/>
        <v>#VALUE!</v>
      </c>
      <c r="D49" s="363" t="str">
        <f t="shared" si="4"/>
        <v>LOAN輸</v>
      </c>
      <c r="E49" t="s">
        <v>1650</v>
      </c>
      <c r="G49" s="300" t="e">
        <f t="shared" si="2"/>
        <v>#VALUE!</v>
      </c>
      <c r="H49" t="s">
        <v>2070</v>
      </c>
    </row>
    <row r="50" spans="2:8">
      <c r="B50" t="s">
        <v>255</v>
      </c>
      <c r="C50" t="str">
        <f t="shared" si="3"/>
        <v>連結</v>
      </c>
      <c r="D50" s="363" t="str">
        <f t="shared" si="4"/>
        <v>L4610</v>
      </c>
      <c r="E50" t="s">
        <v>1651</v>
      </c>
      <c r="G50" s="300" t="e">
        <f t="shared" si="2"/>
        <v>#VALUE!</v>
      </c>
      <c r="H50" t="s">
        <v>2072</v>
      </c>
    </row>
    <row r="51" spans="2:8">
      <c r="B51" t="s">
        <v>237</v>
      </c>
      <c r="C51" t="e">
        <f t="shared" si="3"/>
        <v>#VALUE!</v>
      </c>
      <c r="D51" s="363" t="str">
        <f t="shared" si="4"/>
        <v>L2017</v>
      </c>
      <c r="E51" t="s">
        <v>1652</v>
      </c>
      <c r="G51" s="300" t="str">
        <f t="shared" si="2"/>
        <v>L3005</v>
      </c>
      <c r="H51" t="s">
        <v>2074</v>
      </c>
    </row>
    <row r="52" spans="2:8">
      <c r="B52" t="s">
        <v>242</v>
      </c>
      <c r="C52" t="e">
        <f t="shared" si="3"/>
        <v>#VALUE!</v>
      </c>
      <c r="D52" s="363" t="str">
        <f t="shared" si="4"/>
        <v>L2038</v>
      </c>
      <c r="E52" t="s">
        <v>1653</v>
      </c>
      <c r="G52" s="300" t="e">
        <f t="shared" si="2"/>
        <v>#VALUE!</v>
      </c>
      <c r="H52" t="s">
        <v>2075</v>
      </c>
    </row>
    <row r="53" spans="2:8">
      <c r="B53" t="s">
        <v>244</v>
      </c>
      <c r="C53" t="e">
        <f t="shared" si="3"/>
        <v>#VALUE!</v>
      </c>
      <c r="D53" s="363" t="str">
        <f t="shared" si="4"/>
        <v>L2038</v>
      </c>
      <c r="E53" t="s">
        <v>1653</v>
      </c>
      <c r="G53" s="300" t="str">
        <f t="shared" si="2"/>
        <v>L3220</v>
      </c>
      <c r="H53" t="s">
        <v>2078</v>
      </c>
    </row>
    <row r="54" spans="2:8">
      <c r="B54" t="s">
        <v>272</v>
      </c>
      <c r="C54" t="e">
        <f t="shared" si="3"/>
        <v>#VALUE!</v>
      </c>
      <c r="D54" s="363" t="str">
        <f t="shared" si="4"/>
        <v>L2038</v>
      </c>
      <c r="E54" t="s">
        <v>1654</v>
      </c>
      <c r="G54" s="300" t="e">
        <f t="shared" si="2"/>
        <v>#VALUE!</v>
      </c>
      <c r="H54" t="s">
        <v>2079</v>
      </c>
    </row>
    <row r="55" spans="2:8">
      <c r="B55" t="s">
        <v>275</v>
      </c>
      <c r="C55" t="e">
        <f t="shared" si="3"/>
        <v>#VALUE!</v>
      </c>
      <c r="D55" s="363" t="str">
        <f t="shared" si="4"/>
        <v>L2035</v>
      </c>
      <c r="E55" t="s">
        <v>1661</v>
      </c>
      <c r="G55" s="300" t="e">
        <f t="shared" si="2"/>
        <v>#VALUE!</v>
      </c>
      <c r="H55" t="s">
        <v>2080</v>
      </c>
    </row>
    <row r="56" spans="2:8">
      <c r="B56" t="s">
        <v>277</v>
      </c>
      <c r="C56" t="e">
        <f t="shared" si="3"/>
        <v>#VALUE!</v>
      </c>
      <c r="D56" s="363" t="str">
        <f t="shared" si="4"/>
        <v>L給案件承</v>
      </c>
      <c r="E56" t="s">
        <v>1666</v>
      </c>
      <c r="G56" s="300" t="e">
        <f t="shared" si="2"/>
        <v>#VALUE!</v>
      </c>
      <c r="H56" t="s">
        <v>2082</v>
      </c>
    </row>
    <row r="57" spans="2:8">
      <c r="B57" t="s">
        <v>285</v>
      </c>
      <c r="C57" t="str">
        <f t="shared" si="3"/>
        <v>連結</v>
      </c>
      <c r="D57" s="363" t="str">
        <f t="shared" si="4"/>
        <v>L2072</v>
      </c>
      <c r="E57" t="s">
        <v>1670</v>
      </c>
      <c r="G57" s="300" t="e">
        <f t="shared" si="2"/>
        <v>#VALUE!</v>
      </c>
      <c r="H57" t="s">
        <v>2084</v>
      </c>
    </row>
    <row r="58" spans="2:8">
      <c r="B58" t="s">
        <v>282</v>
      </c>
      <c r="C58" t="e">
        <f t="shared" si="3"/>
        <v>#VALUE!</v>
      </c>
      <c r="D58" s="363" t="str">
        <f t="shared" si="4"/>
        <v>L6402</v>
      </c>
      <c r="E58" t="s">
        <v>1672</v>
      </c>
      <c r="G58" s="300" t="e">
        <f t="shared" si="2"/>
        <v>#VALUE!</v>
      </c>
      <c r="H58" t="s">
        <v>2086</v>
      </c>
    </row>
    <row r="59" spans="2:8">
      <c r="B59" t="s">
        <v>1400</v>
      </c>
      <c r="C59" t="e">
        <f t="shared" si="3"/>
        <v>#VALUE!</v>
      </c>
      <c r="D59" s="363" t="str">
        <f t="shared" si="4"/>
        <v>L1905</v>
      </c>
      <c r="E59" t="s">
        <v>1677</v>
      </c>
      <c r="G59" s="300" t="str">
        <f t="shared" si="2"/>
        <v>L5075</v>
      </c>
      <c r="H59" t="s">
        <v>2087</v>
      </c>
    </row>
    <row r="60" spans="2:8">
      <c r="B60" t="s">
        <v>1403</v>
      </c>
      <c r="C60" t="e">
        <f t="shared" si="3"/>
        <v>#VALUE!</v>
      </c>
      <c r="D60" s="363" t="e">
        <f t="shared" si="4"/>
        <v>#VALUE!</v>
      </c>
      <c r="E60" t="s">
        <v>1695</v>
      </c>
      <c r="G60" s="300" t="str">
        <f t="shared" si="2"/>
        <v>L597A</v>
      </c>
      <c r="H60" t="s">
        <v>2089</v>
      </c>
    </row>
    <row r="61" spans="2:8">
      <c r="B61" t="s">
        <v>303</v>
      </c>
      <c r="C61" t="e">
        <f t="shared" si="3"/>
        <v>#VALUE!</v>
      </c>
      <c r="D61" s="363" t="str">
        <f t="shared" si="4"/>
        <v>L2154</v>
      </c>
      <c r="E61" t="s">
        <v>1696</v>
      </c>
      <c r="G61" s="300" t="e">
        <f t="shared" si="2"/>
        <v>#VALUE!</v>
      </c>
      <c r="H61" t="s">
        <v>2091</v>
      </c>
    </row>
    <row r="62" spans="2:8">
      <c r="B62" t="s">
        <v>1408</v>
      </c>
      <c r="C62" t="e">
        <f t="shared" ref="C62:C93" si="5">IF(FIND("連結",E62)&gt;0,"連結",FIND("連結",E62))</f>
        <v>#VALUE!</v>
      </c>
      <c r="D62" s="363" t="str">
        <f t="shared" ref="D62:D93" si="6">MID(E62,FIND("L",E62),5)</f>
        <v>L檢核結果</v>
      </c>
      <c r="E62" t="s">
        <v>1704</v>
      </c>
      <c r="G62" s="300" t="str">
        <f t="shared" si="2"/>
        <v>L6605</v>
      </c>
      <c r="H62" t="s">
        <v>2092</v>
      </c>
    </row>
    <row r="63" spans="2:8">
      <c r="B63" t="s">
        <v>1411</v>
      </c>
      <c r="C63" t="e">
        <f t="shared" si="5"/>
        <v>#VALUE!</v>
      </c>
      <c r="D63" s="363" t="str">
        <f t="shared" si="6"/>
        <v>L3100</v>
      </c>
      <c r="E63" t="s">
        <v>1706</v>
      </c>
      <c r="G63" s="300" t="e">
        <f t="shared" si="2"/>
        <v>#VALUE!</v>
      </c>
      <c r="H63" t="s">
        <v>2093</v>
      </c>
    </row>
    <row r="64" spans="2:8">
      <c r="B64" t="s">
        <v>1413</v>
      </c>
      <c r="C64" t="e">
        <f t="shared" si="5"/>
        <v>#VALUE!</v>
      </c>
      <c r="D64" s="363" t="str">
        <f t="shared" si="6"/>
        <v>L2060</v>
      </c>
      <c r="E64" t="s">
        <v>1712</v>
      </c>
      <c r="G64" s="300" t="str">
        <f t="shared" si="2"/>
        <v>L4703</v>
      </c>
      <c r="H64" t="s">
        <v>2095</v>
      </c>
    </row>
    <row r="65" spans="2:8">
      <c r="B65" t="s">
        <v>1405</v>
      </c>
      <c r="C65" t="e">
        <f t="shared" si="5"/>
        <v>#VALUE!</v>
      </c>
      <c r="D65" s="363" t="str">
        <f t="shared" si="6"/>
        <v>L2600</v>
      </c>
      <c r="E65" t="s">
        <v>1714</v>
      </c>
      <c r="G65" s="300" t="str">
        <f t="shared" si="2"/>
        <v>L4454</v>
      </c>
      <c r="H65" t="s">
        <v>2097</v>
      </c>
    </row>
    <row r="66" spans="2:8">
      <c r="B66" t="s">
        <v>307</v>
      </c>
      <c r="C66" t="e">
        <f t="shared" si="5"/>
        <v>#VALUE!</v>
      </c>
      <c r="D66" s="363" t="str">
        <f t="shared" si="6"/>
        <v>L3600</v>
      </c>
      <c r="E66" t="s">
        <v>1715</v>
      </c>
      <c r="G66" s="300" t="str">
        <f t="shared" si="2"/>
        <v>L3731</v>
      </c>
      <c r="H66" t="s">
        <v>2099</v>
      </c>
    </row>
    <row r="67" spans="2:8">
      <c r="B67" t="s">
        <v>310</v>
      </c>
      <c r="C67" t="e">
        <f t="shared" si="5"/>
        <v>#VALUE!</v>
      </c>
      <c r="D67" s="363" t="str">
        <f t="shared" si="6"/>
        <v>L3600</v>
      </c>
      <c r="E67" t="s">
        <v>1716</v>
      </c>
      <c r="G67" s="300" t="str">
        <f t="shared" si="2"/>
        <v>L4605</v>
      </c>
      <c r="H67" t="s">
        <v>2101</v>
      </c>
    </row>
    <row r="68" spans="2:8">
      <c r="B68" t="s">
        <v>312</v>
      </c>
      <c r="C68" t="e">
        <f t="shared" si="5"/>
        <v>#VALUE!</v>
      </c>
      <c r="D68" s="363" t="str">
        <f t="shared" si="6"/>
        <v>L3600</v>
      </c>
      <c r="E68" t="s">
        <v>1717</v>
      </c>
      <c r="G68" s="300" t="e">
        <f t="shared" ref="G68:G85" si="7">MID(H68,FIND("L",H68),5)</f>
        <v>#VALUE!</v>
      </c>
      <c r="H68" t="s">
        <v>2103</v>
      </c>
    </row>
    <row r="69" spans="2:8">
      <c r="B69" t="s">
        <v>317</v>
      </c>
      <c r="C69" t="e">
        <f t="shared" si="5"/>
        <v>#VALUE!</v>
      </c>
      <c r="D69" s="363" t="str">
        <f t="shared" si="6"/>
        <v>L4042</v>
      </c>
      <c r="E69" t="s">
        <v>1719</v>
      </c>
      <c r="G69" s="300" t="e">
        <f t="shared" si="7"/>
        <v>#VALUE!</v>
      </c>
      <c r="H69" t="s">
        <v>2105</v>
      </c>
    </row>
    <row r="70" spans="2:8">
      <c r="B70" t="s">
        <v>321</v>
      </c>
      <c r="C70" t="str">
        <f t="shared" si="5"/>
        <v>連結</v>
      </c>
      <c r="D70" s="363" t="str">
        <f t="shared" si="6"/>
        <v>L3943</v>
      </c>
      <c r="E70" t="s">
        <v>1738</v>
      </c>
      <c r="G70" s="300" t="e">
        <f t="shared" si="7"/>
        <v>#VALUE!</v>
      </c>
      <c r="H70" t="s">
        <v>2107</v>
      </c>
    </row>
    <row r="71" spans="2:8">
      <c r="B71" t="s">
        <v>328</v>
      </c>
      <c r="C71" t="e">
        <f t="shared" si="5"/>
        <v>#VALUE!</v>
      </c>
      <c r="D71" s="363" t="str">
        <f t="shared" si="6"/>
        <v>L3007</v>
      </c>
      <c r="E71" t="s">
        <v>1739</v>
      </c>
      <c r="G71" s="300" t="e">
        <f t="shared" si="7"/>
        <v>#VALUE!</v>
      </c>
      <c r="H71" t="s">
        <v>2109</v>
      </c>
    </row>
    <row r="72" spans="2:8">
      <c r="B72" t="s">
        <v>346</v>
      </c>
      <c r="C72" t="str">
        <f t="shared" si="5"/>
        <v>連結</v>
      </c>
      <c r="D72" s="363" t="str">
        <f t="shared" si="6"/>
        <v>L3943</v>
      </c>
      <c r="E72" t="s">
        <v>1738</v>
      </c>
      <c r="G72" s="300" t="e">
        <f t="shared" si="7"/>
        <v>#VALUE!</v>
      </c>
      <c r="H72" t="s">
        <v>2110</v>
      </c>
    </row>
    <row r="73" spans="2:8">
      <c r="B73" t="s">
        <v>349</v>
      </c>
      <c r="C73" t="str">
        <f t="shared" si="5"/>
        <v>連結</v>
      </c>
      <c r="D73" s="363" t="str">
        <f t="shared" si="6"/>
        <v>L2061</v>
      </c>
      <c r="E73" t="s">
        <v>1741</v>
      </c>
      <c r="G73" s="300" t="str">
        <f t="shared" si="7"/>
        <v>L4030</v>
      </c>
      <c r="H73" t="s">
        <v>2112</v>
      </c>
    </row>
    <row r="74" spans="2:8">
      <c r="B74" t="s">
        <v>375</v>
      </c>
      <c r="C74" t="str">
        <f t="shared" si="5"/>
        <v>連結</v>
      </c>
      <c r="D74" s="363" t="str">
        <f t="shared" si="6"/>
        <v>L4943</v>
      </c>
      <c r="E74" t="s">
        <v>1742</v>
      </c>
      <c r="G74" s="300" t="str">
        <f t="shared" si="7"/>
        <v>L6042</v>
      </c>
      <c r="H74" t="s">
        <v>2113</v>
      </c>
    </row>
    <row r="75" spans="2:8">
      <c r="B75" t="s">
        <v>926</v>
      </c>
      <c r="C75" t="e">
        <f t="shared" si="5"/>
        <v>#VALUE!</v>
      </c>
      <c r="D75" s="363" t="e">
        <f t="shared" si="6"/>
        <v>#VALUE!</v>
      </c>
      <c r="E75" t="s">
        <v>1758</v>
      </c>
      <c r="G75" s="300" t="str">
        <f t="shared" si="7"/>
        <v>L1905</v>
      </c>
      <c r="H75" t="s">
        <v>2114</v>
      </c>
    </row>
    <row r="76" spans="2:8">
      <c r="B76" t="s">
        <v>336</v>
      </c>
      <c r="C76" t="e">
        <f t="shared" si="5"/>
        <v>#VALUE!</v>
      </c>
      <c r="D76" s="363" t="e">
        <f t="shared" si="6"/>
        <v>#VALUE!</v>
      </c>
      <c r="E76" t="s">
        <v>1761</v>
      </c>
      <c r="G76" s="300" t="e">
        <f t="shared" si="7"/>
        <v>#VALUE!</v>
      </c>
      <c r="H76" t="s">
        <v>2116</v>
      </c>
    </row>
    <row r="77" spans="2:8">
      <c r="B77" t="s">
        <v>340</v>
      </c>
      <c r="C77" t="e">
        <f t="shared" si="5"/>
        <v>#VALUE!</v>
      </c>
      <c r="D77" s="363" t="str">
        <f t="shared" si="6"/>
        <v>L後續處理</v>
      </c>
      <c r="E77" t="s">
        <v>1764</v>
      </c>
      <c r="G77" s="300" t="str">
        <f t="shared" si="7"/>
        <v>L2222</v>
      </c>
      <c r="H77" t="s">
        <v>2117</v>
      </c>
    </row>
    <row r="78" spans="2:8">
      <c r="B78" t="s">
        <v>360</v>
      </c>
      <c r="C78" t="e">
        <f t="shared" si="5"/>
        <v>#VALUE!</v>
      </c>
      <c r="D78" s="363" t="str">
        <f t="shared" si="6"/>
        <v>L後續處理</v>
      </c>
      <c r="E78" t="s">
        <v>1764</v>
      </c>
      <c r="G78" s="300" t="str">
        <f t="shared" si="7"/>
        <v>L2480</v>
      </c>
      <c r="H78" t="s">
        <v>2118</v>
      </c>
    </row>
    <row r="79" spans="2:8">
      <c r="B79" t="s">
        <v>363</v>
      </c>
      <c r="C79" t="e">
        <f t="shared" si="5"/>
        <v>#VALUE!</v>
      </c>
      <c r="D79" s="363" t="str">
        <f t="shared" si="6"/>
        <v>LD暫收款</v>
      </c>
      <c r="E79" t="s">
        <v>1775</v>
      </c>
      <c r="G79" s="300" t="e">
        <f t="shared" si="7"/>
        <v>#VALUE!</v>
      </c>
      <c r="H79" t="s">
        <v>2120</v>
      </c>
    </row>
    <row r="80" spans="2:8">
      <c r="B80" t="s">
        <v>368</v>
      </c>
      <c r="C80" t="e">
        <f t="shared" si="5"/>
        <v>#VALUE!</v>
      </c>
      <c r="D80" s="363" t="str">
        <f t="shared" si="6"/>
        <v>LC009</v>
      </c>
      <c r="E80" t="s">
        <v>1779</v>
      </c>
      <c r="G80" s="300" t="e">
        <f t="shared" si="7"/>
        <v>#VALUE!</v>
      </c>
      <c r="H80" t="s">
        <v>2122</v>
      </c>
    </row>
    <row r="81" spans="2:8">
      <c r="B81" t="s">
        <v>354</v>
      </c>
      <c r="C81" t="e">
        <f t="shared" si="5"/>
        <v>#VALUE!</v>
      </c>
      <c r="D81" s="363" t="str">
        <f t="shared" si="6"/>
        <v>L8030</v>
      </c>
      <c r="E81" t="s">
        <v>1781</v>
      </c>
      <c r="G81" s="300" t="e">
        <f t="shared" si="7"/>
        <v>#VALUE!</v>
      </c>
      <c r="H81" t="s">
        <v>2123</v>
      </c>
    </row>
    <row r="82" spans="2:8">
      <c r="B82" t="s">
        <v>357</v>
      </c>
      <c r="C82" t="str">
        <f t="shared" si="5"/>
        <v>連結</v>
      </c>
      <c r="D82" s="363" t="str">
        <f t="shared" si="6"/>
        <v>L6932</v>
      </c>
      <c r="E82" t="s">
        <v>1784</v>
      </c>
      <c r="G82" s="300" t="e">
        <f t="shared" si="7"/>
        <v>#VALUE!</v>
      </c>
      <c r="H82" t="s">
        <v>2125</v>
      </c>
    </row>
    <row r="83" spans="2:8">
      <c r="B83" t="s">
        <v>385</v>
      </c>
      <c r="C83" t="str">
        <f t="shared" si="5"/>
        <v>連結</v>
      </c>
      <c r="D83" s="363" t="str">
        <f t="shared" si="6"/>
        <v>L5960</v>
      </c>
      <c r="E83" t="s">
        <v>1787</v>
      </c>
      <c r="G83" s="300" t="e">
        <f t="shared" si="7"/>
        <v>#VALUE!</v>
      </c>
      <c r="H83" t="s">
        <v>2127</v>
      </c>
    </row>
    <row r="84" spans="2:8">
      <c r="B84" t="s">
        <v>387</v>
      </c>
      <c r="C84" t="str">
        <f t="shared" si="5"/>
        <v>連結</v>
      </c>
      <c r="D84" s="363" t="str">
        <f t="shared" si="6"/>
        <v>L5976</v>
      </c>
      <c r="E84" t="s">
        <v>1789</v>
      </c>
      <c r="G84" s="300" t="e">
        <f t="shared" si="7"/>
        <v>#VALUE!</v>
      </c>
      <c r="H84" t="s">
        <v>2129</v>
      </c>
    </row>
    <row r="85" spans="2:8">
      <c r="B85" t="s">
        <v>393</v>
      </c>
      <c r="C85" t="e">
        <f t="shared" si="5"/>
        <v>#VALUE!</v>
      </c>
      <c r="D85" s="363" t="str">
        <f t="shared" si="6"/>
        <v>L5702</v>
      </c>
      <c r="E85" t="s">
        <v>1791</v>
      </c>
      <c r="G85" s="300" t="e">
        <f t="shared" si="7"/>
        <v>#VALUE!</v>
      </c>
      <c r="H85" t="s">
        <v>2130</v>
      </c>
    </row>
    <row r="86" spans="2:8">
      <c r="B86" t="s">
        <v>395</v>
      </c>
      <c r="C86" t="str">
        <f t="shared" si="5"/>
        <v>連結</v>
      </c>
      <c r="D86" s="363" t="str">
        <f t="shared" si="6"/>
        <v>L5977</v>
      </c>
      <c r="E86" t="s">
        <v>1793</v>
      </c>
    </row>
    <row r="87" spans="2:8">
      <c r="B87" t="s">
        <v>397</v>
      </c>
      <c r="C87" t="e">
        <f t="shared" si="5"/>
        <v>#VALUE!</v>
      </c>
      <c r="D87" s="363" t="str">
        <f t="shared" si="6"/>
        <v>L5711</v>
      </c>
      <c r="E87" t="s">
        <v>1794</v>
      </c>
    </row>
    <row r="88" spans="2:8">
      <c r="B88" t="s">
        <v>399</v>
      </c>
      <c r="C88" t="e">
        <f t="shared" si="5"/>
        <v>#VALUE!</v>
      </c>
      <c r="D88" s="363" t="str">
        <f t="shared" si="6"/>
        <v>L5711</v>
      </c>
      <c r="E88" t="s">
        <v>1795</v>
      </c>
    </row>
    <row r="89" spans="2:8">
      <c r="B89" t="s">
        <v>408</v>
      </c>
      <c r="C89" t="e">
        <f t="shared" si="5"/>
        <v>#VALUE!</v>
      </c>
      <c r="D89" s="363" t="str">
        <f t="shared" si="6"/>
        <v>L6085</v>
      </c>
      <c r="E89" t="s">
        <v>1800</v>
      </c>
    </row>
    <row r="90" spans="2:8">
      <c r="B90" t="s">
        <v>420</v>
      </c>
      <c r="C90" t="e">
        <f t="shared" si="5"/>
        <v>#VALUE!</v>
      </c>
      <c r="D90" s="363" t="str">
        <f t="shared" si="6"/>
        <v>L4500</v>
      </c>
      <c r="E90" t="s">
        <v>1817</v>
      </c>
    </row>
    <row r="91" spans="2:8">
      <c r="B91" t="s">
        <v>426</v>
      </c>
      <c r="C91" t="e">
        <f t="shared" si="5"/>
        <v>#VALUE!</v>
      </c>
      <c r="D91" s="363" t="str">
        <f t="shared" si="6"/>
        <v>L4500</v>
      </c>
      <c r="E91" t="s">
        <v>1818</v>
      </c>
    </row>
    <row r="92" spans="2:8">
      <c r="B92" t="s">
        <v>1396</v>
      </c>
      <c r="C92" t="e">
        <f t="shared" si="5"/>
        <v>#VALUE!</v>
      </c>
      <c r="D92" s="363" t="str">
        <f t="shared" si="6"/>
        <v>L4210</v>
      </c>
      <c r="E92" t="s">
        <v>1822</v>
      </c>
    </row>
    <row r="93" spans="2:8">
      <c r="B93" t="s">
        <v>429</v>
      </c>
      <c r="C93" t="e">
        <f t="shared" si="5"/>
        <v>#VALUE!</v>
      </c>
      <c r="D93" s="363" t="str">
        <f t="shared" si="6"/>
        <v>L3200</v>
      </c>
      <c r="E93" t="s">
        <v>1832</v>
      </c>
    </row>
    <row r="94" spans="2:8">
      <c r="B94" t="s">
        <v>432</v>
      </c>
      <c r="C94" t="e">
        <f t="shared" ref="C94:C114" si="8">IF(FIND("連結",E94)&gt;0,"連結",FIND("連結",E94))</f>
        <v>#VALUE!</v>
      </c>
      <c r="D94" s="363" t="str">
        <f t="shared" ref="D94:D114" si="9">MID(E94,FIND("L",E94),5)</f>
        <v>L3130</v>
      </c>
      <c r="E94" t="s">
        <v>1835</v>
      </c>
    </row>
    <row r="95" spans="2:8">
      <c r="B95" t="s">
        <v>717</v>
      </c>
      <c r="C95" t="e">
        <f t="shared" si="8"/>
        <v>#VALUE!</v>
      </c>
      <c r="D95" s="363" t="str">
        <f t="shared" si="9"/>
        <v>L4920</v>
      </c>
      <c r="E95" t="s">
        <v>1849</v>
      </c>
    </row>
    <row r="96" spans="2:8">
      <c r="B96" t="s">
        <v>434</v>
      </c>
      <c r="C96" t="e">
        <f t="shared" si="8"/>
        <v>#VALUE!</v>
      </c>
      <c r="D96" s="363" t="str">
        <f t="shared" si="9"/>
        <v>L6501</v>
      </c>
      <c r="E96" t="s">
        <v>1855</v>
      </c>
    </row>
    <row r="97" spans="2:5">
      <c r="B97" t="s">
        <v>438</v>
      </c>
      <c r="C97" t="e">
        <f t="shared" si="8"/>
        <v>#VALUE!</v>
      </c>
      <c r="D97" s="363" t="str">
        <f t="shared" si="9"/>
        <v>L3130</v>
      </c>
      <c r="E97" t="s">
        <v>1861</v>
      </c>
    </row>
    <row r="98" spans="2:5">
      <c r="B98" t="s">
        <v>441</v>
      </c>
      <c r="C98" t="str">
        <f t="shared" si="8"/>
        <v>連結</v>
      </c>
      <c r="D98" s="363" t="str">
        <f t="shared" si="9"/>
        <v>L8204</v>
      </c>
      <c r="E98" t="s">
        <v>1862</v>
      </c>
    </row>
    <row r="99" spans="2:5">
      <c r="B99" t="s">
        <v>801</v>
      </c>
      <c r="C99" t="e">
        <f t="shared" si="8"/>
        <v>#VALUE!</v>
      </c>
      <c r="D99" s="363" t="str">
        <f t="shared" si="9"/>
        <v>L9133</v>
      </c>
      <c r="E99" t="s">
        <v>1894</v>
      </c>
    </row>
    <row r="100" spans="2:5">
      <c r="B100" t="s">
        <v>450</v>
      </c>
      <c r="C100" t="e">
        <f t="shared" si="8"/>
        <v>#VALUE!</v>
      </c>
      <c r="D100" s="363" t="e">
        <f t="shared" si="9"/>
        <v>#VALUE!</v>
      </c>
      <c r="E100" t="s">
        <v>1896</v>
      </c>
    </row>
    <row r="101" spans="2:5">
      <c r="B101" t="s">
        <v>454</v>
      </c>
      <c r="C101" t="str">
        <f t="shared" si="8"/>
        <v>連結</v>
      </c>
      <c r="D101" s="363" t="str">
        <f t="shared" si="9"/>
        <v>L2038</v>
      </c>
      <c r="E101" t="s">
        <v>1900</v>
      </c>
    </row>
    <row r="102" spans="2:5">
      <c r="B102" t="s">
        <v>452</v>
      </c>
      <c r="C102" t="e">
        <f t="shared" si="8"/>
        <v>#VALUE!</v>
      </c>
      <c r="D102" s="363" t="str">
        <f t="shared" si="9"/>
        <v>L4610</v>
      </c>
      <c r="E102" t="s">
        <v>1905</v>
      </c>
    </row>
    <row r="103" spans="2:5">
      <c r="B103" t="s">
        <v>458</v>
      </c>
      <c r="C103" t="e">
        <f t="shared" si="8"/>
        <v>#VALUE!</v>
      </c>
      <c r="D103" s="363" t="str">
        <f t="shared" si="9"/>
        <v>L4611</v>
      </c>
      <c r="E103" t="s">
        <v>1906</v>
      </c>
    </row>
    <row r="104" spans="2:5">
      <c r="B104" t="s">
        <v>471</v>
      </c>
      <c r="C104" t="e">
        <f t="shared" si="8"/>
        <v>#VALUE!</v>
      </c>
      <c r="D104" s="363" t="str">
        <f t="shared" si="9"/>
        <v>L4962</v>
      </c>
      <c r="E104" t="s">
        <v>1907</v>
      </c>
    </row>
    <row r="105" spans="2:5">
      <c r="B105" t="s">
        <v>477</v>
      </c>
      <c r="C105" t="str">
        <f t="shared" si="8"/>
        <v>連結</v>
      </c>
      <c r="D105" s="363" t="str">
        <f t="shared" si="9"/>
        <v>L4961</v>
      </c>
      <c r="E105" t="s">
        <v>1908</v>
      </c>
    </row>
    <row r="106" spans="2:5">
      <c r="B106" t="s">
        <v>479</v>
      </c>
      <c r="C106" t="e">
        <f t="shared" si="8"/>
        <v>#VALUE!</v>
      </c>
      <c r="D106" s="363" t="str">
        <f t="shared" si="9"/>
        <v>L6301</v>
      </c>
      <c r="E106" t="s">
        <v>1913</v>
      </c>
    </row>
    <row r="107" spans="2:5">
      <c r="B107" t="s">
        <v>481</v>
      </c>
      <c r="C107" t="e">
        <f t="shared" si="8"/>
        <v>#VALUE!</v>
      </c>
      <c r="D107" s="363" t="str">
        <f t="shared" si="9"/>
        <v>L8204</v>
      </c>
      <c r="E107" t="s">
        <v>1939</v>
      </c>
    </row>
    <row r="108" spans="2:5">
      <c r="B108" t="s">
        <v>474</v>
      </c>
      <c r="C108" t="e">
        <f t="shared" si="8"/>
        <v>#VALUE!</v>
      </c>
      <c r="D108" s="363" t="e">
        <f t="shared" si="9"/>
        <v>#VALUE!</v>
      </c>
      <c r="E108" t="s">
        <v>1944</v>
      </c>
    </row>
    <row r="109" spans="2:5">
      <c r="B109" t="s">
        <v>1777</v>
      </c>
      <c r="C109" t="str">
        <f t="shared" si="8"/>
        <v>連結</v>
      </c>
      <c r="D109" s="363" t="str">
        <f t="shared" si="9"/>
        <v>L2017</v>
      </c>
      <c r="E109" t="s">
        <v>1948</v>
      </c>
    </row>
    <row r="110" spans="2:5">
      <c r="B110" t="s">
        <v>492</v>
      </c>
      <c r="C110" t="str">
        <f t="shared" si="8"/>
        <v>連結</v>
      </c>
      <c r="D110" s="363" t="str">
        <f t="shared" si="9"/>
        <v>L2039</v>
      </c>
      <c r="E110" t="s">
        <v>1949</v>
      </c>
    </row>
    <row r="111" spans="2:5">
      <c r="B111" t="s">
        <v>496</v>
      </c>
      <c r="C111" t="e">
        <f t="shared" si="8"/>
        <v>#VALUE!</v>
      </c>
      <c r="D111" s="363" t="str">
        <f t="shared" si="9"/>
        <v>L2411</v>
      </c>
      <c r="E111" t="s">
        <v>1952</v>
      </c>
    </row>
    <row r="112" spans="2:5">
      <c r="B112" t="s">
        <v>490</v>
      </c>
      <c r="C112" t="str">
        <f t="shared" si="8"/>
        <v>連結</v>
      </c>
      <c r="D112" s="363" t="str">
        <f t="shared" si="9"/>
        <v>L190A</v>
      </c>
      <c r="E112" t="s">
        <v>1964</v>
      </c>
    </row>
    <row r="113" spans="2:5">
      <c r="B113" t="s">
        <v>502</v>
      </c>
      <c r="C113" t="e">
        <f t="shared" si="8"/>
        <v>#VALUE!</v>
      </c>
      <c r="D113" s="363" t="str">
        <f t="shared" si="9"/>
        <v>L5062</v>
      </c>
      <c r="E113" t="s">
        <v>1965</v>
      </c>
    </row>
    <row r="114" spans="2:5">
      <c r="B114" t="s">
        <v>506</v>
      </c>
      <c r="C114" t="e">
        <f t="shared" si="8"/>
        <v>#VALUE!</v>
      </c>
      <c r="D114" s="363" t="str">
        <f t="shared" si="9"/>
        <v>L2038</v>
      </c>
      <c r="E114" t="s">
        <v>1967</v>
      </c>
    </row>
    <row r="115" spans="2:5">
      <c r="B115" t="s">
        <v>535</v>
      </c>
    </row>
    <row r="116" spans="2:5">
      <c r="B116" t="s">
        <v>537</v>
      </c>
    </row>
    <row r="117" spans="2:5">
      <c r="B117" t="s">
        <v>513</v>
      </c>
    </row>
    <row r="118" spans="2:5">
      <c r="B118" t="s">
        <v>544</v>
      </c>
    </row>
    <row r="119" spans="2:5">
      <c r="B119" t="s">
        <v>539</v>
      </c>
    </row>
    <row r="120" spans="2:5">
      <c r="B120" t="s">
        <v>546</v>
      </c>
    </row>
    <row r="121" spans="2:5">
      <c r="B121" t="s">
        <v>552</v>
      </c>
    </row>
    <row r="122" spans="2:5">
      <c r="B122" t="s">
        <v>554</v>
      </c>
    </row>
    <row r="123" spans="2:5">
      <c r="B123" t="s">
        <v>548</v>
      </c>
    </row>
    <row r="124" spans="2:5">
      <c r="B124" t="s">
        <v>595</v>
      </c>
    </row>
    <row r="125" spans="2:5">
      <c r="B125" t="s">
        <v>597</v>
      </c>
    </row>
    <row r="126" spans="2:5">
      <c r="B126" t="s">
        <v>585</v>
      </c>
    </row>
    <row r="127" spans="2:5">
      <c r="B127" t="s">
        <v>589</v>
      </c>
    </row>
    <row r="128" spans="2:5">
      <c r="B128" t="s">
        <v>1140</v>
      </c>
    </row>
    <row r="129" spans="2:2">
      <c r="B129" t="s">
        <v>619</v>
      </c>
    </row>
    <row r="130" spans="2:2">
      <c r="B130" t="s">
        <v>627</v>
      </c>
    </row>
    <row r="131" spans="2:2">
      <c r="B131" t="s">
        <v>629</v>
      </c>
    </row>
    <row r="132" spans="2:2">
      <c r="B132" t="s">
        <v>636</v>
      </c>
    </row>
    <row r="133" spans="2:2">
      <c r="B133" t="s">
        <v>645</v>
      </c>
    </row>
    <row r="134" spans="2:2">
      <c r="B134" t="s">
        <v>643</v>
      </c>
    </row>
    <row r="135" spans="2:2">
      <c r="B135" t="s">
        <v>648</v>
      </c>
    </row>
    <row r="136" spans="2:2">
      <c r="B136" t="s">
        <v>794</v>
      </c>
    </row>
    <row r="137" spans="2:2">
      <c r="B137" t="s">
        <v>381</v>
      </c>
    </row>
    <row r="138" spans="2:2">
      <c r="B138" t="s">
        <v>736</v>
      </c>
    </row>
    <row r="139" spans="2:2">
      <c r="B139" t="s">
        <v>712</v>
      </c>
    </row>
    <row r="140" spans="2:2">
      <c r="B140" t="s">
        <v>654</v>
      </c>
    </row>
    <row r="141" spans="2:2">
      <c r="B141" t="s">
        <v>679</v>
      </c>
    </row>
    <row r="142" spans="2:2">
      <c r="B142" t="s">
        <v>683</v>
      </c>
    </row>
    <row r="143" spans="2:2">
      <c r="B143" t="s">
        <v>661</v>
      </c>
    </row>
    <row r="144" spans="2:2">
      <c r="B144" t="s">
        <v>687</v>
      </c>
    </row>
    <row r="145" spans="2:2">
      <c r="B145" t="s">
        <v>689</v>
      </c>
    </row>
    <row r="146" spans="2:2">
      <c r="B146" t="s">
        <v>963</v>
      </c>
    </row>
    <row r="147" spans="2:2">
      <c r="B147" t="s">
        <v>707</v>
      </c>
    </row>
    <row r="148" spans="2:2">
      <c r="B148" t="s">
        <v>1155</v>
      </c>
    </row>
    <row r="149" spans="2:2">
      <c r="B149" t="s">
        <v>1167</v>
      </c>
    </row>
    <row r="150" spans="2:2">
      <c r="B150" t="s">
        <v>1169</v>
      </c>
    </row>
    <row r="151" spans="2:2">
      <c r="B151" t="s">
        <v>1215</v>
      </c>
    </row>
    <row r="152" spans="2:2">
      <c r="B152" t="s">
        <v>671</v>
      </c>
    </row>
    <row r="153" spans="2:2">
      <c r="B153" t="s">
        <v>665</v>
      </c>
    </row>
    <row r="154" spans="2:2">
      <c r="B154" t="s">
        <v>663</v>
      </c>
    </row>
    <row r="155" spans="2:2">
      <c r="B155" t="s">
        <v>725</v>
      </c>
    </row>
    <row r="156" spans="2:2">
      <c r="B156" t="s">
        <v>1891</v>
      </c>
    </row>
    <row r="157" spans="2:2">
      <c r="B157" t="s">
        <v>803</v>
      </c>
    </row>
    <row r="158" spans="2:2">
      <c r="B158" t="s">
        <v>469</v>
      </c>
    </row>
    <row r="159" spans="2:2">
      <c r="B159" t="s">
        <v>761</v>
      </c>
    </row>
    <row r="160" spans="2:2">
      <c r="B160" t="s">
        <v>765</v>
      </c>
    </row>
    <row r="161" spans="2:2">
      <c r="B161" t="s">
        <v>775</v>
      </c>
    </row>
    <row r="162" spans="2:2">
      <c r="B162" t="s">
        <v>844</v>
      </c>
    </row>
    <row r="163" spans="2:2">
      <c r="B163" t="s">
        <v>846</v>
      </c>
    </row>
    <row r="164" spans="2:2">
      <c r="B164" t="s">
        <v>828</v>
      </c>
    </row>
    <row r="165" spans="2:2">
      <c r="B165" t="s">
        <v>830</v>
      </c>
    </row>
    <row r="166" spans="2:2">
      <c r="B166" t="s">
        <v>837</v>
      </c>
    </row>
    <row r="167" spans="2:2">
      <c r="B167" t="s">
        <v>832</v>
      </c>
    </row>
    <row r="168" spans="2:2">
      <c r="B168" t="s">
        <v>841</v>
      </c>
    </row>
    <row r="169" spans="2:2">
      <c r="B169" t="s">
        <v>878</v>
      </c>
    </row>
    <row r="170" spans="2:2">
      <c r="B170" t="s">
        <v>673</v>
      </c>
    </row>
    <row r="171" spans="2:2">
      <c r="B171" t="s">
        <v>676</v>
      </c>
    </row>
    <row r="172" spans="2:2">
      <c r="B172" t="s">
        <v>811</v>
      </c>
    </row>
    <row r="173" spans="2:2">
      <c r="B173" t="s">
        <v>869</v>
      </c>
    </row>
    <row r="174" spans="2:2">
      <c r="B174" t="s">
        <v>884</v>
      </c>
    </row>
    <row r="175" spans="2:2">
      <c r="B175" t="s">
        <v>888</v>
      </c>
    </row>
    <row r="176" spans="2:2">
      <c r="B176" t="s">
        <v>891</v>
      </c>
    </row>
    <row r="177" spans="2:2">
      <c r="B177" t="s">
        <v>894</v>
      </c>
    </row>
    <row r="178" spans="2:2">
      <c r="B178" t="s">
        <v>898</v>
      </c>
    </row>
    <row r="179" spans="2:2">
      <c r="B179" t="s">
        <v>902</v>
      </c>
    </row>
    <row r="180" spans="2:2">
      <c r="B180" t="s">
        <v>906</v>
      </c>
    </row>
    <row r="181" spans="2:2">
      <c r="B181" t="s">
        <v>910</v>
      </c>
    </row>
    <row r="182" spans="2:2">
      <c r="B182" t="s">
        <v>914</v>
      </c>
    </row>
    <row r="183" spans="2:2">
      <c r="B183" t="s">
        <v>900</v>
      </c>
    </row>
    <row r="184" spans="2:2">
      <c r="B184" t="s">
        <v>904</v>
      </c>
    </row>
    <row r="185" spans="2:2">
      <c r="B185" t="s">
        <v>908</v>
      </c>
    </row>
    <row r="186" spans="2:2">
      <c r="B186" t="s">
        <v>912</v>
      </c>
    </row>
    <row r="187" spans="2:2">
      <c r="B187" t="s">
        <v>916</v>
      </c>
    </row>
    <row r="188" spans="2:2">
      <c r="B188" t="s">
        <v>918</v>
      </c>
    </row>
    <row r="189" spans="2:2">
      <c r="B189" t="s">
        <v>983</v>
      </c>
    </row>
    <row r="190" spans="2:2">
      <c r="B190" t="s">
        <v>987</v>
      </c>
    </row>
    <row r="191" spans="2:2">
      <c r="B191" t="s">
        <v>999</v>
      </c>
    </row>
    <row r="192" spans="2:2">
      <c r="B192" t="s">
        <v>1001</v>
      </c>
    </row>
    <row r="193" spans="2:2">
      <c r="B193" t="s">
        <v>1138</v>
      </c>
    </row>
    <row r="194" spans="2:2">
      <c r="B194" t="s">
        <v>2411</v>
      </c>
    </row>
    <row r="195" spans="2:2">
      <c r="B195" t="s">
        <v>1080</v>
      </c>
    </row>
    <row r="196" spans="2:2">
      <c r="B196" t="s">
        <v>1087</v>
      </c>
    </row>
    <row r="197" spans="2:2">
      <c r="B197" t="s">
        <v>185</v>
      </c>
    </row>
    <row r="198" spans="2:2">
      <c r="B198" t="s">
        <v>1125</v>
      </c>
    </row>
    <row r="199" spans="2:2">
      <c r="B199" t="s">
        <v>863</v>
      </c>
    </row>
    <row r="200" spans="2:2">
      <c r="B200" t="s">
        <v>371</v>
      </c>
    </row>
    <row r="201" spans="2:2">
      <c r="B201" t="s">
        <v>857</v>
      </c>
    </row>
    <row r="202" spans="2:2">
      <c r="B202" t="s">
        <v>1121</v>
      </c>
    </row>
    <row r="203" spans="2:2">
      <c r="B203" t="s">
        <v>169</v>
      </c>
    </row>
    <row r="204" spans="2:2">
      <c r="B204" t="s">
        <v>2806</v>
      </c>
    </row>
    <row r="205" spans="2:2">
      <c r="B205" t="s">
        <v>2807</v>
      </c>
    </row>
    <row r="206" spans="2:2">
      <c r="B206" t="s">
        <v>1149</v>
      </c>
    </row>
    <row r="207" spans="2:2">
      <c r="B207" t="s">
        <v>508</v>
      </c>
    </row>
    <row r="208" spans="2:2">
      <c r="B208" t="s">
        <v>531</v>
      </c>
    </row>
    <row r="209" spans="2:2">
      <c r="B209" t="s">
        <v>632</v>
      </c>
    </row>
    <row r="210" spans="2:2">
      <c r="B210" t="s">
        <v>714</v>
      </c>
    </row>
    <row r="211" spans="2:2">
      <c r="B211" t="s">
        <v>448</v>
      </c>
    </row>
    <row r="212" spans="2:2">
      <c r="B212" t="s">
        <v>460</v>
      </c>
    </row>
    <row r="213" spans="2:2">
      <c r="B213" t="s">
        <v>920</v>
      </c>
    </row>
    <row r="214" spans="2:2">
      <c r="B214" t="s">
        <v>1046</v>
      </c>
    </row>
    <row r="215" spans="2:2">
      <c r="B215" t="s">
        <v>1050</v>
      </c>
    </row>
    <row r="216" spans="2:2">
      <c r="B216" t="s">
        <v>603</v>
      </c>
    </row>
    <row r="217" spans="2:2">
      <c r="B217" t="s">
        <v>763</v>
      </c>
    </row>
    <row r="218" spans="2:2">
      <c r="B218" t="s">
        <v>1119</v>
      </c>
    </row>
    <row r="219" spans="2:2">
      <c r="B219" s="300" t="s">
        <v>872</v>
      </c>
    </row>
  </sheetData>
  <autoFilter ref="A1:H261" xr:uid="{00000000-0001-0000-0700-000000000000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="120" zoomScaleNormal="120" workbookViewId="0">
      <selection activeCell="B11" sqref="B11"/>
    </sheetView>
  </sheetViews>
  <sheetFormatPr defaultColWidth="9" defaultRowHeight="14.4"/>
  <cols>
    <col min="1" max="1" width="9" style="264" customWidth="1"/>
    <col min="2" max="2" width="91.75" style="4" customWidth="1"/>
    <col min="3" max="3" width="23.375" style="4" customWidth="1"/>
    <col min="4" max="6" width="9" style="4" customWidth="1"/>
    <col min="7" max="16384" width="9" style="4"/>
  </cols>
  <sheetData>
    <row r="1" spans="1:3">
      <c r="A1" s="5" t="s">
        <v>1984</v>
      </c>
      <c r="B1" s="5" t="s">
        <v>1985</v>
      </c>
      <c r="C1" s="5" t="s">
        <v>1986</v>
      </c>
    </row>
    <row r="2" spans="1:3">
      <c r="A2" s="264">
        <v>1</v>
      </c>
      <c r="B2" s="46" t="s">
        <v>1987</v>
      </c>
      <c r="C2" s="4" t="s">
        <v>1988</v>
      </c>
    </row>
    <row r="3" spans="1:3">
      <c r="A3" s="264">
        <v>2</v>
      </c>
      <c r="B3" s="4" t="s">
        <v>1989</v>
      </c>
      <c r="C3" s="4" t="s">
        <v>371</v>
      </c>
    </row>
    <row r="4" spans="1:3" ht="45" customHeight="1">
      <c r="A4" s="264">
        <v>3</v>
      </c>
      <c r="B4" s="46" t="s">
        <v>1990</v>
      </c>
      <c r="C4" s="4" t="s">
        <v>1991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5"/>
  <sheetViews>
    <sheetView zoomScale="85" zoomScaleNormal="85" workbookViewId="0">
      <pane ySplit="1" topLeftCell="A2" activePane="bottomLeft" state="frozen"/>
      <selection pane="bottomLeft" activeCell="E89" sqref="E89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1" width="9" style="82" customWidth="1"/>
    <col min="12" max="16384" width="9" style="82"/>
  </cols>
  <sheetData>
    <row r="1" spans="1:8" s="124" customFormat="1">
      <c r="A1" s="121" t="s">
        <v>1435</v>
      </c>
      <c r="B1" s="122" t="s">
        <v>1992</v>
      </c>
      <c r="C1" s="121" t="s">
        <v>1993</v>
      </c>
      <c r="D1" s="121" t="s">
        <v>1438</v>
      </c>
      <c r="E1" s="123" t="s">
        <v>1994</v>
      </c>
      <c r="F1" s="121" t="s">
        <v>1995</v>
      </c>
      <c r="G1" s="123" t="s">
        <v>1996</v>
      </c>
      <c r="H1" s="123" t="s">
        <v>1997</v>
      </c>
    </row>
    <row r="2" spans="1:8" s="98" customFormat="1" ht="33" customHeight="1">
      <c r="A2" s="81">
        <v>44399</v>
      </c>
      <c r="B2" s="89">
        <v>1</v>
      </c>
      <c r="C2" s="78" t="s">
        <v>1998</v>
      </c>
      <c r="D2" s="89" t="s">
        <v>147</v>
      </c>
      <c r="E2" s="81">
        <v>44403</v>
      </c>
      <c r="F2" s="80" t="s">
        <v>1999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2000</v>
      </c>
      <c r="D3" s="89" t="s">
        <v>5</v>
      </c>
      <c r="E3" s="81">
        <v>44407</v>
      </c>
      <c r="F3" s="82" t="s">
        <v>2001</v>
      </c>
      <c r="G3" s="81">
        <v>44474</v>
      </c>
    </row>
    <row r="4" spans="1:8">
      <c r="A4" s="81">
        <v>44397</v>
      </c>
      <c r="B4" s="89">
        <v>2</v>
      </c>
      <c r="C4" s="78" t="s">
        <v>2002</v>
      </c>
      <c r="D4" s="89" t="s">
        <v>5</v>
      </c>
      <c r="E4" s="81">
        <v>44407</v>
      </c>
      <c r="F4" s="82" t="s">
        <v>2001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2003</v>
      </c>
      <c r="D5" s="89" t="s">
        <v>541</v>
      </c>
      <c r="E5" s="81">
        <v>44407</v>
      </c>
      <c r="F5" s="80" t="s">
        <v>2004</v>
      </c>
      <c r="G5" s="81">
        <v>44407</v>
      </c>
      <c r="H5" s="82" t="s">
        <v>2005</v>
      </c>
    </row>
    <row r="6" spans="1:8" s="98" customFormat="1" ht="34.049999999999997" customHeight="1">
      <c r="A6" s="81">
        <v>44399</v>
      </c>
      <c r="B6" s="89">
        <v>2</v>
      </c>
      <c r="C6" s="78" t="s">
        <v>2006</v>
      </c>
      <c r="D6" s="89" t="s">
        <v>10</v>
      </c>
      <c r="E6" s="81">
        <v>44407</v>
      </c>
      <c r="F6" s="80" t="s">
        <v>2007</v>
      </c>
      <c r="G6" s="81">
        <v>44400</v>
      </c>
      <c r="H6" s="82" t="s">
        <v>2008</v>
      </c>
    </row>
    <row r="7" spans="1:8" s="98" customFormat="1" ht="33" customHeight="1">
      <c r="A7" s="81">
        <v>44399</v>
      </c>
      <c r="B7" s="89">
        <v>3</v>
      </c>
      <c r="C7" s="78" t="s">
        <v>2009</v>
      </c>
      <c r="D7" s="89" t="s">
        <v>10</v>
      </c>
      <c r="E7" s="81">
        <v>44407</v>
      </c>
      <c r="F7" s="78" t="s">
        <v>2010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2011</v>
      </c>
      <c r="D8" s="89" t="s">
        <v>9</v>
      </c>
      <c r="E8" s="81">
        <v>44407</v>
      </c>
      <c r="F8" s="82" t="s">
        <v>2012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2013</v>
      </c>
      <c r="D9" s="89" t="s">
        <v>147</v>
      </c>
      <c r="E9" s="81">
        <v>44414</v>
      </c>
      <c r="F9" s="82"/>
      <c r="G9" s="81">
        <v>44481</v>
      </c>
      <c r="H9" s="82" t="s">
        <v>2005</v>
      </c>
    </row>
    <row r="10" spans="1:8" s="98" customFormat="1" ht="33" customHeight="1">
      <c r="A10" s="81">
        <v>44398</v>
      </c>
      <c r="B10" s="89">
        <v>1</v>
      </c>
      <c r="C10" s="99" t="s">
        <v>1484</v>
      </c>
      <c r="D10" s="89" t="s">
        <v>147</v>
      </c>
      <c r="E10" s="81">
        <v>44414</v>
      </c>
      <c r="F10" s="78" t="s">
        <v>2014</v>
      </c>
      <c r="G10" s="81">
        <v>44413</v>
      </c>
      <c r="H10" s="82" t="s">
        <v>2005</v>
      </c>
    </row>
    <row r="11" spans="1:8" s="98" customFormat="1" ht="33" customHeight="1">
      <c r="A11" s="81">
        <v>44398</v>
      </c>
      <c r="B11" s="89">
        <v>2</v>
      </c>
      <c r="C11" s="99" t="s">
        <v>1488</v>
      </c>
      <c r="D11" s="89" t="s">
        <v>330</v>
      </c>
      <c r="E11" s="81">
        <v>44414</v>
      </c>
      <c r="F11" s="82" t="s">
        <v>2015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2016</v>
      </c>
      <c r="D12" s="89" t="s">
        <v>147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2017</v>
      </c>
      <c r="D13" s="89" t="s">
        <v>147</v>
      </c>
      <c r="E13" s="81">
        <v>44414</v>
      </c>
      <c r="F13" s="82" t="s">
        <v>2018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2019</v>
      </c>
      <c r="D14" s="89" t="s">
        <v>147</v>
      </c>
      <c r="E14" s="81">
        <v>44414</v>
      </c>
      <c r="F14" s="82" t="s">
        <v>2018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2020</v>
      </c>
      <c r="D15" s="89" t="s">
        <v>15</v>
      </c>
      <c r="E15" s="81">
        <v>44414</v>
      </c>
      <c r="F15" s="80" t="s">
        <v>2021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2022</v>
      </c>
      <c r="D16" s="89" t="s">
        <v>15</v>
      </c>
      <c r="E16" s="81">
        <v>44414</v>
      </c>
      <c r="F16" s="96" t="s">
        <v>2023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2024</v>
      </c>
      <c r="D17" s="89" t="s">
        <v>15</v>
      </c>
      <c r="E17" s="81">
        <v>44414</v>
      </c>
      <c r="F17" s="97" t="s">
        <v>2025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2026</v>
      </c>
      <c r="D18" s="89" t="s">
        <v>10</v>
      </c>
      <c r="E18" s="81">
        <v>44414</v>
      </c>
      <c r="F18" s="82" t="s">
        <v>2027</v>
      </c>
      <c r="G18" s="81">
        <v>44412</v>
      </c>
    </row>
    <row r="19" spans="1:8">
      <c r="A19" s="81">
        <v>44405</v>
      </c>
      <c r="B19" s="89">
        <v>3</v>
      </c>
      <c r="C19" s="78" t="s">
        <v>2028</v>
      </c>
      <c r="D19" s="89" t="s">
        <v>147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2029</v>
      </c>
      <c r="D20" s="89" t="s">
        <v>147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2030</v>
      </c>
      <c r="D21" s="89" t="s">
        <v>147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2031</v>
      </c>
      <c r="D22" s="89" t="s">
        <v>9</v>
      </c>
      <c r="E22" s="81">
        <v>44419</v>
      </c>
      <c r="F22" s="82" t="s">
        <v>2032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2033</v>
      </c>
      <c r="D23" s="89" t="s">
        <v>249</v>
      </c>
      <c r="E23" s="81">
        <v>44419</v>
      </c>
      <c r="F23" s="96" t="s">
        <v>2034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2035</v>
      </c>
      <c r="D24" s="89" t="s">
        <v>9</v>
      </c>
      <c r="E24" s="81">
        <v>44419</v>
      </c>
      <c r="F24" s="78" t="s">
        <v>2036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2037</v>
      </c>
      <c r="D25" s="89" t="s">
        <v>9</v>
      </c>
      <c r="E25" s="79">
        <v>44421</v>
      </c>
      <c r="F25" s="96" t="s">
        <v>2038</v>
      </c>
      <c r="G25" s="79">
        <v>44420</v>
      </c>
      <c r="H25" s="82" t="s">
        <v>2039</v>
      </c>
    </row>
    <row r="26" spans="1:8" s="98" customFormat="1">
      <c r="A26" s="81">
        <v>44404</v>
      </c>
      <c r="B26" s="89">
        <v>3</v>
      </c>
      <c r="C26" s="78" t="s">
        <v>2040</v>
      </c>
      <c r="D26" s="89" t="s">
        <v>15</v>
      </c>
      <c r="E26" s="81">
        <v>44421</v>
      </c>
      <c r="F26" s="97" t="s">
        <v>2041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2042</v>
      </c>
      <c r="D27" s="100" t="s">
        <v>249</v>
      </c>
      <c r="E27" s="79">
        <v>44421</v>
      </c>
      <c r="F27" s="96" t="s">
        <v>2043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2044</v>
      </c>
      <c r="D28" s="89" t="s">
        <v>147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2045</v>
      </c>
      <c r="D29" s="89" t="s">
        <v>203</v>
      </c>
      <c r="E29" s="79">
        <v>44428</v>
      </c>
      <c r="F29" s="96" t="s">
        <v>2046</v>
      </c>
      <c r="G29" s="81">
        <v>44432</v>
      </c>
      <c r="H29" s="102" t="s">
        <v>2047</v>
      </c>
    </row>
    <row r="30" spans="1:8" s="98" customFormat="1">
      <c r="A30" s="81">
        <v>44396</v>
      </c>
      <c r="B30" s="89">
        <v>1</v>
      </c>
      <c r="C30" s="78" t="s">
        <v>2048</v>
      </c>
      <c r="D30" s="89" t="s">
        <v>147</v>
      </c>
      <c r="E30" s="81">
        <v>44438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2049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2050</v>
      </c>
      <c r="D32" s="89" t="s">
        <v>203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2051</v>
      </c>
      <c r="D33" s="89" t="s">
        <v>15</v>
      </c>
      <c r="E33" s="81">
        <v>44439</v>
      </c>
      <c r="F33" s="96" t="s">
        <v>2052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1989</v>
      </c>
      <c r="D34" s="89" t="s">
        <v>203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1987</v>
      </c>
      <c r="D35" s="89" t="s">
        <v>147</v>
      </c>
      <c r="E35" s="81" t="s">
        <v>2053</v>
      </c>
      <c r="F35" s="82"/>
      <c r="G35" s="81"/>
      <c r="H35" s="82"/>
    </row>
    <row r="36" spans="1:9">
      <c r="A36" s="81">
        <v>44431</v>
      </c>
      <c r="B36" s="313">
        <v>1</v>
      </c>
      <c r="C36" s="78" t="s">
        <v>2054</v>
      </c>
      <c r="D36" s="89" t="s">
        <v>147</v>
      </c>
      <c r="E36" s="71">
        <v>44454</v>
      </c>
    </row>
    <row r="37" spans="1:9">
      <c r="A37" s="81">
        <v>44431</v>
      </c>
      <c r="B37" s="313">
        <v>2</v>
      </c>
      <c r="C37" s="68" t="s">
        <v>2055</v>
      </c>
      <c r="D37" s="89" t="s">
        <v>147</v>
      </c>
      <c r="E37" s="71">
        <v>44454</v>
      </c>
    </row>
    <row r="38" spans="1:9" ht="31.5" customHeight="1">
      <c r="A38" s="71">
        <v>44432</v>
      </c>
      <c r="B38" s="313">
        <v>1</v>
      </c>
      <c r="C38" s="78" t="s">
        <v>2056</v>
      </c>
      <c r="D38" s="313" t="s">
        <v>9</v>
      </c>
      <c r="E38" s="71">
        <v>44442</v>
      </c>
      <c r="F38" s="80" t="s">
        <v>2057</v>
      </c>
      <c r="G38" s="81">
        <v>44433</v>
      </c>
    </row>
    <row r="39" spans="1:9" ht="33" customHeight="1">
      <c r="A39" s="71">
        <v>44432</v>
      </c>
      <c r="B39" s="313">
        <v>2</v>
      </c>
      <c r="C39" s="78" t="s">
        <v>2058</v>
      </c>
      <c r="D39" s="313" t="s">
        <v>203</v>
      </c>
      <c r="E39" s="71">
        <v>44454</v>
      </c>
    </row>
    <row r="40" spans="1:9">
      <c r="A40" s="71">
        <v>44432</v>
      </c>
      <c r="B40" s="313">
        <v>3</v>
      </c>
      <c r="C40" s="78" t="s">
        <v>2059</v>
      </c>
      <c r="D40" s="313" t="s">
        <v>147</v>
      </c>
      <c r="E40" s="71">
        <v>44439</v>
      </c>
    </row>
    <row r="41" spans="1:9">
      <c r="A41" s="71">
        <v>44432</v>
      </c>
      <c r="B41" s="313">
        <v>4</v>
      </c>
      <c r="C41" s="78" t="s">
        <v>2060</v>
      </c>
      <c r="D41" s="313" t="s">
        <v>147</v>
      </c>
      <c r="E41" s="71">
        <v>44435</v>
      </c>
    </row>
    <row r="42" spans="1:9" ht="33" customHeight="1">
      <c r="A42" s="71">
        <v>44432</v>
      </c>
      <c r="B42" s="313">
        <v>5</v>
      </c>
      <c r="C42" s="78" t="s">
        <v>2061</v>
      </c>
      <c r="D42" s="313" t="s">
        <v>147</v>
      </c>
      <c r="E42" s="71">
        <v>44435</v>
      </c>
      <c r="G42" s="81">
        <v>44456</v>
      </c>
    </row>
    <row r="43" spans="1:9">
      <c r="A43" s="71">
        <v>44432</v>
      </c>
      <c r="B43" s="313">
        <v>6</v>
      </c>
      <c r="C43" s="78" t="s">
        <v>2062</v>
      </c>
      <c r="D43" s="313" t="s">
        <v>147</v>
      </c>
      <c r="E43" s="71">
        <v>44435</v>
      </c>
    </row>
    <row r="44" spans="1:9" ht="33" customHeight="1">
      <c r="A44" s="71">
        <v>44433</v>
      </c>
      <c r="B44" s="313">
        <v>1</v>
      </c>
      <c r="C44" s="78" t="s">
        <v>2063</v>
      </c>
      <c r="D44" s="313" t="s">
        <v>147</v>
      </c>
      <c r="E44" s="71">
        <v>44449</v>
      </c>
    </row>
    <row r="45" spans="1:9">
      <c r="A45" s="71">
        <v>44433</v>
      </c>
      <c r="B45" s="313">
        <v>2</v>
      </c>
      <c r="C45" s="78" t="s">
        <v>2064</v>
      </c>
      <c r="D45" s="313" t="s">
        <v>147</v>
      </c>
      <c r="E45" s="71">
        <v>44469</v>
      </c>
    </row>
    <row r="46" spans="1:9" ht="33" customHeight="1">
      <c r="A46" s="71">
        <v>44438</v>
      </c>
      <c r="B46" s="313">
        <v>1</v>
      </c>
      <c r="C46" s="74" t="s">
        <v>2065</v>
      </c>
      <c r="D46" s="128" t="s">
        <v>2066</v>
      </c>
      <c r="E46" s="71">
        <v>44449</v>
      </c>
      <c r="F46" s="80" t="s">
        <v>2067</v>
      </c>
      <c r="G46" s="81">
        <v>44462</v>
      </c>
    </row>
    <row r="47" spans="1:9" ht="73.5" customHeight="1">
      <c r="A47" s="71">
        <v>44438</v>
      </c>
      <c r="B47" s="313">
        <v>2</v>
      </c>
      <c r="C47" s="74" t="s">
        <v>2068</v>
      </c>
      <c r="D47" s="128" t="s">
        <v>2066</v>
      </c>
      <c r="E47" s="71">
        <v>44449</v>
      </c>
      <c r="F47" s="80" t="s">
        <v>2069</v>
      </c>
      <c r="G47" s="81">
        <v>44462</v>
      </c>
    </row>
    <row r="48" spans="1:9" ht="34.049999999999997" customHeight="1">
      <c r="A48" s="71">
        <v>44438</v>
      </c>
      <c r="B48" s="313">
        <v>3</v>
      </c>
      <c r="C48" s="78" t="s">
        <v>2070</v>
      </c>
      <c r="D48" s="313" t="s">
        <v>5</v>
      </c>
      <c r="E48" s="71">
        <v>44469</v>
      </c>
      <c r="F48" s="80"/>
      <c r="I48" s="82" t="s">
        <v>2071</v>
      </c>
    </row>
    <row r="49" spans="1:7">
      <c r="A49" s="71">
        <v>44438</v>
      </c>
      <c r="B49" s="313">
        <v>4</v>
      </c>
      <c r="C49" s="74" t="s">
        <v>2072</v>
      </c>
      <c r="D49" s="313" t="s">
        <v>9</v>
      </c>
      <c r="E49" s="71">
        <v>44449</v>
      </c>
      <c r="F49" s="80" t="s">
        <v>2073</v>
      </c>
    </row>
    <row r="50" spans="1:7">
      <c r="A50" s="71">
        <v>44439</v>
      </c>
      <c r="B50" s="313">
        <v>1</v>
      </c>
      <c r="C50" s="78" t="s">
        <v>2074</v>
      </c>
      <c r="D50" s="89" t="s">
        <v>203</v>
      </c>
      <c r="E50" s="71">
        <v>44469</v>
      </c>
      <c r="G50" s="81">
        <v>44494</v>
      </c>
    </row>
    <row r="51" spans="1:7" ht="49.5" customHeight="1">
      <c r="A51" s="71">
        <v>44439</v>
      </c>
      <c r="B51" s="313">
        <v>2</v>
      </c>
      <c r="C51" s="126" t="s">
        <v>2075</v>
      </c>
      <c r="D51" s="128" t="s">
        <v>2076</v>
      </c>
      <c r="E51" s="71">
        <v>44449</v>
      </c>
      <c r="F51" s="80" t="s">
        <v>2077</v>
      </c>
      <c r="G51" s="81">
        <v>44435</v>
      </c>
    </row>
    <row r="52" spans="1:7" ht="34.049999999999997" customHeight="1">
      <c r="A52" s="81">
        <v>44452</v>
      </c>
      <c r="B52" s="89">
        <v>1</v>
      </c>
      <c r="C52" s="78" t="s">
        <v>2078</v>
      </c>
      <c r="D52" s="89" t="s">
        <v>203</v>
      </c>
      <c r="E52" s="71">
        <v>44469</v>
      </c>
    </row>
    <row r="53" spans="1:7" ht="49.5" customHeight="1">
      <c r="A53" s="81">
        <v>44452</v>
      </c>
      <c r="B53" s="89">
        <v>2</v>
      </c>
      <c r="C53" s="78" t="s">
        <v>2079</v>
      </c>
      <c r="D53" s="89" t="s">
        <v>203</v>
      </c>
      <c r="E53" s="71">
        <v>44469</v>
      </c>
    </row>
    <row r="54" spans="1:7" ht="33" customHeight="1">
      <c r="A54" s="81">
        <v>44455</v>
      </c>
      <c r="B54" s="89">
        <v>1</v>
      </c>
      <c r="C54" s="78" t="s">
        <v>2080</v>
      </c>
      <c r="D54" s="161" t="s">
        <v>2081</v>
      </c>
      <c r="E54" s="71">
        <v>44466</v>
      </c>
    </row>
    <row r="55" spans="1:7" ht="33" customHeight="1">
      <c r="A55" s="81">
        <v>44455</v>
      </c>
      <c r="B55" s="89">
        <v>2</v>
      </c>
      <c r="C55" s="78" t="s">
        <v>2082</v>
      </c>
      <c r="D55" s="89" t="s">
        <v>24</v>
      </c>
      <c r="E55" s="71">
        <v>44466</v>
      </c>
      <c r="F55" s="78" t="s">
        <v>2083</v>
      </c>
      <c r="G55" s="81">
        <v>44463</v>
      </c>
    </row>
    <row r="56" spans="1:7">
      <c r="A56" s="81">
        <v>44455</v>
      </c>
      <c r="B56" s="89">
        <v>3</v>
      </c>
      <c r="C56" s="78" t="s">
        <v>2084</v>
      </c>
      <c r="D56" s="313" t="s">
        <v>10</v>
      </c>
      <c r="E56" s="71">
        <v>44466</v>
      </c>
      <c r="F56" s="82" t="s">
        <v>2085</v>
      </c>
      <c r="G56" s="81">
        <v>44468</v>
      </c>
    </row>
    <row r="57" spans="1:7">
      <c r="A57" s="81">
        <v>44455</v>
      </c>
      <c r="B57" s="89">
        <v>4</v>
      </c>
      <c r="C57" s="78" t="s">
        <v>2086</v>
      </c>
      <c r="D57" s="313" t="s">
        <v>24</v>
      </c>
      <c r="E57" s="71">
        <v>44474</v>
      </c>
    </row>
    <row r="58" spans="1:7" ht="33" customHeight="1">
      <c r="A58" s="81">
        <v>44462</v>
      </c>
      <c r="B58" s="89">
        <v>1</v>
      </c>
      <c r="C58" s="78" t="s">
        <v>2087</v>
      </c>
      <c r="D58" s="89" t="s">
        <v>25</v>
      </c>
      <c r="E58" s="81">
        <v>44467</v>
      </c>
      <c r="F58" s="82" t="s">
        <v>2088</v>
      </c>
      <c r="G58" s="81">
        <v>44463</v>
      </c>
    </row>
    <row r="59" spans="1:7">
      <c r="A59" s="81">
        <v>44463</v>
      </c>
      <c r="B59" s="89">
        <v>1</v>
      </c>
      <c r="C59" s="78" t="s">
        <v>2089</v>
      </c>
      <c r="D59" s="89" t="s">
        <v>25</v>
      </c>
      <c r="E59" s="81">
        <v>44469</v>
      </c>
      <c r="F59" s="82" t="s">
        <v>2090</v>
      </c>
      <c r="G59" s="81">
        <v>44469</v>
      </c>
    </row>
    <row r="60" spans="1:7">
      <c r="A60" s="81">
        <v>44463</v>
      </c>
      <c r="B60" s="89">
        <v>2</v>
      </c>
      <c r="C60" s="78" t="s">
        <v>2091</v>
      </c>
      <c r="D60" s="89" t="s">
        <v>7</v>
      </c>
      <c r="E60" s="81">
        <v>44469</v>
      </c>
      <c r="F60" s="82" t="s">
        <v>2090</v>
      </c>
      <c r="G60" s="81">
        <v>44469</v>
      </c>
    </row>
    <row r="61" spans="1:7" ht="32.549999999999997" customHeight="1">
      <c r="A61" s="71">
        <v>44467</v>
      </c>
      <c r="B61" s="313">
        <v>1</v>
      </c>
      <c r="C61" s="78" t="s">
        <v>2092</v>
      </c>
      <c r="D61" s="313" t="s">
        <v>8</v>
      </c>
      <c r="E61" s="71">
        <v>44477</v>
      </c>
    </row>
    <row r="62" spans="1:7" ht="49.5" customHeight="1">
      <c r="A62" s="71">
        <v>44468</v>
      </c>
      <c r="B62" s="313">
        <v>1</v>
      </c>
      <c r="C62" s="78" t="s">
        <v>2093</v>
      </c>
      <c r="D62" s="128" t="s">
        <v>2094</v>
      </c>
      <c r="E62" s="71">
        <v>44475</v>
      </c>
    </row>
    <row r="63" spans="1:7" ht="33" customHeight="1">
      <c r="A63" s="71">
        <v>44481</v>
      </c>
      <c r="B63" s="313">
        <v>1</v>
      </c>
      <c r="C63" s="78" t="s">
        <v>2095</v>
      </c>
      <c r="D63" s="128" t="s">
        <v>23</v>
      </c>
      <c r="E63" s="81">
        <v>44487</v>
      </c>
      <c r="F63" s="82" t="s">
        <v>2096</v>
      </c>
      <c r="G63" s="81">
        <v>44483</v>
      </c>
    </row>
    <row r="64" spans="1:7" ht="148.5" customHeight="1">
      <c r="A64" s="71">
        <v>44484</v>
      </c>
      <c r="B64" s="313">
        <v>1</v>
      </c>
      <c r="C64" s="78" t="s">
        <v>2097</v>
      </c>
      <c r="D64" s="128" t="s">
        <v>22</v>
      </c>
      <c r="E64" s="71">
        <v>44498</v>
      </c>
      <c r="F64" s="101" t="s">
        <v>2098</v>
      </c>
    </row>
    <row r="65" spans="1:7" ht="71.25" customHeight="1">
      <c r="A65" s="71">
        <v>44487</v>
      </c>
      <c r="B65" s="313">
        <v>1</v>
      </c>
      <c r="C65" s="78" t="s">
        <v>2099</v>
      </c>
      <c r="D65" s="89" t="s">
        <v>14</v>
      </c>
      <c r="E65" s="81">
        <v>44487</v>
      </c>
      <c r="F65" s="237" t="s">
        <v>2100</v>
      </c>
      <c r="G65" s="81">
        <v>44494</v>
      </c>
    </row>
    <row r="66" spans="1:7" s="313" customFormat="1" ht="66" customHeight="1">
      <c r="A66" s="71">
        <v>44488</v>
      </c>
      <c r="B66" s="313">
        <v>1</v>
      </c>
      <c r="C66" s="99" t="s">
        <v>2101</v>
      </c>
      <c r="D66" s="313" t="s">
        <v>24</v>
      </c>
      <c r="E66" s="71">
        <v>44491</v>
      </c>
      <c r="F66" s="78" t="s">
        <v>2102</v>
      </c>
      <c r="G66" s="71">
        <v>44490</v>
      </c>
    </row>
    <row r="67" spans="1:7" ht="33" customHeight="1">
      <c r="A67" s="71">
        <v>44488</v>
      </c>
      <c r="B67" s="313">
        <v>2</v>
      </c>
      <c r="C67" s="78" t="s">
        <v>2103</v>
      </c>
      <c r="D67" s="313" t="s">
        <v>24</v>
      </c>
      <c r="E67" s="71">
        <v>44491</v>
      </c>
      <c r="F67" s="78" t="s">
        <v>2104</v>
      </c>
      <c r="G67" s="71">
        <v>44490</v>
      </c>
    </row>
    <row r="68" spans="1:7" ht="49.5" customHeight="1">
      <c r="A68" s="71">
        <v>44488</v>
      </c>
      <c r="B68" s="313">
        <v>3</v>
      </c>
      <c r="C68" s="78" t="s">
        <v>2105</v>
      </c>
      <c r="D68" s="89" t="s">
        <v>8</v>
      </c>
      <c r="E68" s="71">
        <v>44491</v>
      </c>
      <c r="F68" s="78" t="s">
        <v>2106</v>
      </c>
      <c r="G68" s="71">
        <v>44490</v>
      </c>
    </row>
    <row r="69" spans="1:7" ht="49.5" customHeight="1">
      <c r="A69" s="71">
        <v>44488</v>
      </c>
      <c r="B69" s="313">
        <v>4</v>
      </c>
      <c r="C69" s="78" t="s">
        <v>2107</v>
      </c>
      <c r="D69" s="89" t="s">
        <v>24</v>
      </c>
      <c r="E69" s="71">
        <v>44491</v>
      </c>
      <c r="F69" s="78" t="s">
        <v>2108</v>
      </c>
      <c r="G69" s="71">
        <v>44490</v>
      </c>
    </row>
    <row r="70" spans="1:7" ht="33" customHeight="1">
      <c r="A70" s="71">
        <v>44488</v>
      </c>
      <c r="B70" s="313">
        <v>5</v>
      </c>
      <c r="C70" s="78" t="s">
        <v>2109</v>
      </c>
      <c r="D70" s="89" t="s">
        <v>8</v>
      </c>
      <c r="E70" s="71">
        <v>44496</v>
      </c>
    </row>
    <row r="71" spans="1:7" ht="42.75" customHeight="1">
      <c r="A71" s="71">
        <v>44488</v>
      </c>
      <c r="B71" s="313">
        <v>6</v>
      </c>
      <c r="C71" s="78" t="s">
        <v>2110</v>
      </c>
      <c r="D71" s="89" t="s">
        <v>14</v>
      </c>
      <c r="E71" s="81">
        <v>44495</v>
      </c>
      <c r="F71" s="237" t="s">
        <v>2111</v>
      </c>
      <c r="G71" s="71">
        <v>44495</v>
      </c>
    </row>
    <row r="72" spans="1:7" ht="66" customHeight="1">
      <c r="A72" s="71">
        <v>44490</v>
      </c>
      <c r="B72" s="313">
        <v>1</v>
      </c>
      <c r="C72" s="78" t="s">
        <v>2112</v>
      </c>
      <c r="D72" s="313" t="s">
        <v>7</v>
      </c>
      <c r="E72" s="71">
        <v>44498</v>
      </c>
    </row>
    <row r="73" spans="1:7" ht="33" customHeight="1">
      <c r="A73" s="71">
        <v>44491</v>
      </c>
      <c r="B73" s="313">
        <v>1</v>
      </c>
      <c r="C73" s="78" t="s">
        <v>2113</v>
      </c>
      <c r="D73" s="313" t="s">
        <v>204</v>
      </c>
      <c r="E73" s="71">
        <v>44498</v>
      </c>
    </row>
    <row r="74" spans="1:7" ht="313.5" customHeight="1">
      <c r="A74" s="71">
        <v>44491</v>
      </c>
      <c r="B74" s="313">
        <v>2</v>
      </c>
      <c r="C74" s="78" t="s">
        <v>2114</v>
      </c>
      <c r="D74" s="313" t="s">
        <v>203</v>
      </c>
      <c r="E74" s="71">
        <v>44494</v>
      </c>
      <c r="F74" s="78" t="s">
        <v>2115</v>
      </c>
    </row>
    <row r="75" spans="1:7" ht="33" customHeight="1">
      <c r="A75" s="71">
        <v>44494</v>
      </c>
      <c r="B75" s="313">
        <v>1</v>
      </c>
      <c r="C75" s="78" t="s">
        <v>2116</v>
      </c>
      <c r="D75" s="313" t="s">
        <v>147</v>
      </c>
      <c r="E75" s="71">
        <v>44498</v>
      </c>
      <c r="F75" s="78"/>
    </row>
    <row r="76" spans="1:7">
      <c r="A76" s="71">
        <v>44494</v>
      </c>
      <c r="B76" s="313">
        <v>2</v>
      </c>
      <c r="C76" s="78" t="s">
        <v>2117</v>
      </c>
      <c r="D76" s="313" t="s">
        <v>147</v>
      </c>
      <c r="E76" s="71">
        <v>44620</v>
      </c>
      <c r="F76" s="78"/>
    </row>
    <row r="77" spans="1:7" ht="32.4">
      <c r="A77" s="71">
        <v>44494</v>
      </c>
      <c r="B77" s="313">
        <v>1</v>
      </c>
      <c r="C77" s="78" t="s">
        <v>2118</v>
      </c>
      <c r="D77" s="313" t="s">
        <v>2119</v>
      </c>
      <c r="E77" s="71">
        <v>44530</v>
      </c>
      <c r="F77" s="78"/>
    </row>
    <row r="78" spans="1:7">
      <c r="A78" s="71">
        <v>44496</v>
      </c>
      <c r="B78" s="89">
        <v>1</v>
      </c>
      <c r="C78" s="78" t="s">
        <v>2120</v>
      </c>
      <c r="D78" s="89" t="s">
        <v>25</v>
      </c>
      <c r="E78" s="81" t="s">
        <v>2121</v>
      </c>
    </row>
    <row r="79" spans="1:7">
      <c r="A79" s="71">
        <v>44496</v>
      </c>
      <c r="B79" s="89">
        <v>2</v>
      </c>
      <c r="C79" s="78" t="s">
        <v>2122</v>
      </c>
      <c r="D79" s="89" t="s">
        <v>7</v>
      </c>
      <c r="E79" s="81" t="s">
        <v>2121</v>
      </c>
    </row>
    <row r="80" spans="1:7" ht="144.75" customHeight="1">
      <c r="A80" s="81">
        <v>44503</v>
      </c>
      <c r="B80" s="89">
        <v>1</v>
      </c>
      <c r="C80" s="78" t="s">
        <v>2123</v>
      </c>
      <c r="D80" s="89" t="s">
        <v>28</v>
      </c>
      <c r="E80" s="81">
        <v>44505</v>
      </c>
      <c r="F80" s="78" t="s">
        <v>2124</v>
      </c>
    </row>
    <row r="81" spans="1:6" ht="33" customHeight="1">
      <c r="A81" s="81">
        <v>44503</v>
      </c>
      <c r="B81" s="89">
        <v>2</v>
      </c>
      <c r="C81" s="78" t="s">
        <v>2125</v>
      </c>
      <c r="D81" s="89" t="s">
        <v>28</v>
      </c>
      <c r="E81" s="81">
        <v>44505</v>
      </c>
      <c r="F81" s="78" t="s">
        <v>2126</v>
      </c>
    </row>
    <row r="82" spans="1:6">
      <c r="A82" s="81">
        <v>44503</v>
      </c>
      <c r="B82" s="89">
        <v>3</v>
      </c>
      <c r="C82" s="78" t="s">
        <v>2127</v>
      </c>
      <c r="D82" s="89" t="s">
        <v>148</v>
      </c>
      <c r="F82" s="82" t="s">
        <v>2128</v>
      </c>
    </row>
    <row r="83" spans="1:6">
      <c r="A83" s="81">
        <v>44504</v>
      </c>
      <c r="B83" s="89">
        <v>1</v>
      </c>
      <c r="C83" s="78" t="s">
        <v>2129</v>
      </c>
      <c r="D83" s="89" t="s">
        <v>148</v>
      </c>
      <c r="E83" s="81">
        <v>44515</v>
      </c>
    </row>
    <row r="84" spans="1:6">
      <c r="A84" s="81">
        <v>44504</v>
      </c>
      <c r="B84" s="89">
        <v>2</v>
      </c>
      <c r="C84" s="78" t="s">
        <v>2130</v>
      </c>
      <c r="D84" s="89" t="s">
        <v>25</v>
      </c>
      <c r="E84" s="81">
        <v>44519</v>
      </c>
    </row>
    <row r="85" spans="1:6" ht="32.4">
      <c r="A85" s="81">
        <v>44517</v>
      </c>
      <c r="B85" s="89">
        <v>1</v>
      </c>
      <c r="C85" s="78" t="s">
        <v>2840</v>
      </c>
      <c r="D85" s="89" t="s">
        <v>2839</v>
      </c>
      <c r="E85" s="81">
        <v>44526</v>
      </c>
    </row>
  </sheetData>
  <autoFilter ref="A1:H84" xr:uid="{00000000-0009-0000-0000-000009000000}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J15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302" bestFit="1" customWidth="1"/>
    <col min="2" max="2" width="10.25" style="302" bestFit="1" customWidth="1"/>
    <col min="3" max="4" width="4.625" style="302" bestFit="1" customWidth="1"/>
    <col min="5" max="5" width="6.25" style="302" bestFit="1" customWidth="1"/>
    <col min="6" max="6" width="7.75" style="302" bestFit="1" customWidth="1"/>
    <col min="7" max="9" width="4.625" style="302" bestFit="1" customWidth="1"/>
    <col min="10" max="10" width="6.25" style="302" bestFit="1" customWidth="1"/>
    <col min="11" max="11" width="7.75" style="302" bestFit="1" customWidth="1"/>
    <col min="12" max="14" width="4.625" style="302" bestFit="1" customWidth="1"/>
    <col min="15" max="15" width="6.25" style="302" bestFit="1" customWidth="1"/>
    <col min="16" max="16" width="7.75" style="302" bestFit="1" customWidth="1"/>
    <col min="17" max="17" width="5" style="302" bestFit="1" customWidth="1"/>
    <col min="18" max="19" width="4.625" style="302" bestFit="1" customWidth="1"/>
    <col min="20" max="20" width="6.25" style="302" bestFit="1" customWidth="1"/>
    <col min="21" max="21" width="7.75" style="302" bestFit="1" customWidth="1"/>
    <col min="22" max="22" width="5" style="302" bestFit="1" customWidth="1"/>
    <col min="23" max="24" width="4.625" style="302" bestFit="1" customWidth="1"/>
    <col min="25" max="25" width="6.25" style="302" bestFit="1" customWidth="1"/>
    <col min="26" max="26" width="7.75" style="302" bestFit="1" customWidth="1"/>
    <col min="27" max="27" width="5" style="302" bestFit="1" customWidth="1"/>
    <col min="28" max="29" width="4.625" style="302" bestFit="1" customWidth="1"/>
    <col min="30" max="30" width="6.25" style="302" bestFit="1" customWidth="1"/>
    <col min="31" max="31" width="7.75" style="302" bestFit="1" customWidth="1"/>
    <col min="32" max="34" width="9.75" style="302" bestFit="1" customWidth="1"/>
    <col min="35" max="35" width="11.5" style="302" bestFit="1" customWidth="1"/>
    <col min="36" max="36" width="13.25" style="302" bestFit="1" customWidth="1"/>
    <col min="37" max="37" width="21.625" style="302" bestFit="1" customWidth="1"/>
    <col min="38" max="40" width="12.75" style="302" bestFit="1" customWidth="1"/>
    <col min="41" max="41" width="16.25" style="302" bestFit="1" customWidth="1"/>
    <col min="42" max="42" width="21.625" style="302" bestFit="1" customWidth="1"/>
    <col min="43" max="45" width="12.75" style="302" bestFit="1" customWidth="1"/>
    <col min="46" max="46" width="16.25" style="302" bestFit="1" customWidth="1"/>
    <col min="47" max="50" width="18.375" style="302" bestFit="1" customWidth="1"/>
    <col min="51" max="51" width="21.875" style="302" bestFit="1" customWidth="1"/>
    <col min="52" max="217" width="18.125" style="302" bestFit="1" customWidth="1"/>
    <col min="218" max="225" width="26.25" style="302" bestFit="1" customWidth="1"/>
    <col min="226" max="227" width="8.75" style="302" customWidth="1"/>
    <col min="228" max="16384" width="8.75" style="302"/>
  </cols>
  <sheetData>
    <row r="3" spans="1:36" ht="14.55" customHeight="1">
      <c r="B3" s="297" t="s">
        <v>2131</v>
      </c>
    </row>
    <row r="4" spans="1:36" ht="14.55" customHeight="1">
      <c r="B4" s="302" t="s">
        <v>2132</v>
      </c>
      <c r="G4" s="302" t="s">
        <v>2133</v>
      </c>
      <c r="L4" s="302" t="s">
        <v>2134</v>
      </c>
      <c r="Q4" s="302" t="s">
        <v>2135</v>
      </c>
      <c r="V4" s="302" t="s">
        <v>2136</v>
      </c>
      <c r="AA4" s="302" t="s">
        <v>2785</v>
      </c>
      <c r="AF4" s="303" t="s">
        <v>2137</v>
      </c>
      <c r="AG4" s="303" t="s">
        <v>2138</v>
      </c>
      <c r="AH4" s="303" t="s">
        <v>2139</v>
      </c>
      <c r="AI4" s="303" t="s">
        <v>2140</v>
      </c>
      <c r="AJ4" s="303" t="s">
        <v>2141</v>
      </c>
    </row>
    <row r="5" spans="1:36" ht="14.55" customHeight="1">
      <c r="A5" s="297" t="s">
        <v>97</v>
      </c>
      <c r="B5" s="302" t="s">
        <v>2142</v>
      </c>
      <c r="C5" s="302" t="s">
        <v>2143</v>
      </c>
      <c r="D5" s="302" t="s">
        <v>2144</v>
      </c>
      <c r="E5" s="302" t="s">
        <v>2145</v>
      </c>
      <c r="F5" s="302" t="s">
        <v>2146</v>
      </c>
      <c r="G5" s="302" t="s">
        <v>2142</v>
      </c>
      <c r="H5" s="302" t="s">
        <v>2143</v>
      </c>
      <c r="I5" s="302" t="s">
        <v>2144</v>
      </c>
      <c r="J5" s="302" t="s">
        <v>2145</v>
      </c>
      <c r="K5" s="302" t="s">
        <v>2146</v>
      </c>
      <c r="L5" s="302" t="s">
        <v>2142</v>
      </c>
      <c r="M5" s="302" t="s">
        <v>2143</v>
      </c>
      <c r="N5" s="302" t="s">
        <v>2144</v>
      </c>
      <c r="O5" s="302" t="s">
        <v>2145</v>
      </c>
      <c r="P5" s="302" t="s">
        <v>2146</v>
      </c>
      <c r="Q5" s="302" t="s">
        <v>2142</v>
      </c>
      <c r="R5" s="302" t="s">
        <v>2143</v>
      </c>
      <c r="S5" s="302" t="s">
        <v>2144</v>
      </c>
      <c r="T5" s="302" t="s">
        <v>2145</v>
      </c>
      <c r="U5" s="302" t="s">
        <v>2146</v>
      </c>
      <c r="V5" s="302" t="s">
        <v>2142</v>
      </c>
      <c r="W5" s="302" t="s">
        <v>2143</v>
      </c>
      <c r="X5" s="302" t="s">
        <v>2144</v>
      </c>
      <c r="Y5" s="302" t="s">
        <v>2145</v>
      </c>
      <c r="Z5" s="302" t="s">
        <v>2146</v>
      </c>
      <c r="AA5" s="302" t="s">
        <v>2142</v>
      </c>
      <c r="AB5" s="302" t="s">
        <v>2143</v>
      </c>
      <c r="AC5" s="302" t="s">
        <v>2144</v>
      </c>
      <c r="AD5" s="302" t="s">
        <v>2145</v>
      </c>
      <c r="AE5" s="302" t="s">
        <v>2146</v>
      </c>
      <c r="AF5" s="303"/>
      <c r="AG5" s="303"/>
      <c r="AH5" s="303"/>
      <c r="AI5" s="303"/>
      <c r="AJ5" s="303"/>
    </row>
    <row r="6" spans="1:36" ht="14.55" customHeight="1">
      <c r="A6" s="298" t="s">
        <v>101</v>
      </c>
      <c r="B6" s="400">
        <v>13</v>
      </c>
      <c r="C6" s="400">
        <v>13</v>
      </c>
      <c r="D6" s="400">
        <v>13</v>
      </c>
      <c r="E6" s="400">
        <v>13</v>
      </c>
      <c r="F6" s="400">
        <v>13</v>
      </c>
      <c r="G6" s="400"/>
      <c r="H6" s="400"/>
      <c r="I6" s="400"/>
      <c r="J6" s="400"/>
      <c r="K6" s="400"/>
      <c r="L6" s="400">
        <v>3</v>
      </c>
      <c r="M6" s="400">
        <v>3</v>
      </c>
      <c r="N6" s="400">
        <v>3</v>
      </c>
      <c r="O6" s="400">
        <v>3</v>
      </c>
      <c r="P6" s="400">
        <v>2</v>
      </c>
      <c r="Q6" s="400"/>
      <c r="R6" s="400"/>
      <c r="S6" s="400"/>
      <c r="T6" s="400"/>
      <c r="U6" s="400"/>
      <c r="V6" s="400"/>
      <c r="W6" s="400"/>
      <c r="X6" s="400"/>
      <c r="Y6" s="400"/>
      <c r="Z6" s="400"/>
      <c r="AA6" s="400"/>
      <c r="AB6" s="400"/>
      <c r="AC6" s="400"/>
      <c r="AD6" s="400"/>
      <c r="AE6" s="400"/>
      <c r="AF6" s="400">
        <v>16</v>
      </c>
      <c r="AG6" s="400">
        <v>16</v>
      </c>
      <c r="AH6" s="401">
        <v>16</v>
      </c>
      <c r="AI6" s="400">
        <v>16</v>
      </c>
      <c r="AJ6" s="400">
        <v>15</v>
      </c>
    </row>
    <row r="7" spans="1:36" ht="14.55" customHeight="1">
      <c r="A7" s="298" t="s">
        <v>102</v>
      </c>
      <c r="B7" s="400">
        <v>17</v>
      </c>
      <c r="C7" s="400">
        <v>17</v>
      </c>
      <c r="D7" s="400">
        <v>15</v>
      </c>
      <c r="E7" s="400">
        <v>11</v>
      </c>
      <c r="F7" s="400"/>
      <c r="G7" s="400">
        <v>27</v>
      </c>
      <c r="H7" s="400">
        <v>27</v>
      </c>
      <c r="I7" s="400">
        <v>14</v>
      </c>
      <c r="J7" s="400">
        <v>18</v>
      </c>
      <c r="K7" s="400"/>
      <c r="L7" s="400">
        <v>7</v>
      </c>
      <c r="M7" s="400">
        <v>7</v>
      </c>
      <c r="N7" s="400">
        <v>5</v>
      </c>
      <c r="O7" s="400">
        <v>5</v>
      </c>
      <c r="P7" s="400"/>
      <c r="Q7" s="400">
        <v>29</v>
      </c>
      <c r="R7" s="400">
        <v>29</v>
      </c>
      <c r="S7" s="400">
        <v>9</v>
      </c>
      <c r="T7" s="400">
        <v>21</v>
      </c>
      <c r="U7" s="400"/>
      <c r="V7" s="400"/>
      <c r="W7" s="400"/>
      <c r="X7" s="400"/>
      <c r="Y7" s="400"/>
      <c r="Z7" s="400"/>
      <c r="AA7" s="400"/>
      <c r="AB7" s="400"/>
      <c r="AC7" s="400"/>
      <c r="AD7" s="400"/>
      <c r="AE7" s="400"/>
      <c r="AF7" s="400">
        <v>80</v>
      </c>
      <c r="AG7" s="400">
        <v>80</v>
      </c>
      <c r="AH7" s="401">
        <v>43</v>
      </c>
      <c r="AI7" s="400">
        <v>55</v>
      </c>
      <c r="AJ7" s="400"/>
    </row>
    <row r="8" spans="1:36" ht="14.55" customHeight="1">
      <c r="A8" s="298" t="s">
        <v>103</v>
      </c>
      <c r="B8" s="400"/>
      <c r="C8" s="400"/>
      <c r="D8" s="400"/>
      <c r="E8" s="400"/>
      <c r="F8" s="400"/>
      <c r="G8" s="400">
        <v>4</v>
      </c>
      <c r="H8" s="400">
        <v>4</v>
      </c>
      <c r="I8" s="400">
        <v>4</v>
      </c>
      <c r="J8" s="400">
        <v>4</v>
      </c>
      <c r="K8" s="400">
        <v>4</v>
      </c>
      <c r="L8" s="400">
        <v>14</v>
      </c>
      <c r="M8" s="400">
        <v>14</v>
      </c>
      <c r="N8" s="400">
        <v>14</v>
      </c>
      <c r="O8" s="400">
        <v>14</v>
      </c>
      <c r="P8" s="400">
        <v>14</v>
      </c>
      <c r="Q8" s="400">
        <v>18</v>
      </c>
      <c r="R8" s="400">
        <v>18</v>
      </c>
      <c r="S8" s="400">
        <v>18</v>
      </c>
      <c r="T8" s="400">
        <v>18</v>
      </c>
      <c r="U8" s="400">
        <v>18</v>
      </c>
      <c r="V8" s="400"/>
      <c r="W8" s="400"/>
      <c r="X8" s="400"/>
      <c r="Y8" s="400"/>
      <c r="Z8" s="400"/>
      <c r="AA8" s="400"/>
      <c r="AB8" s="400"/>
      <c r="AC8" s="400"/>
      <c r="AD8" s="400"/>
      <c r="AE8" s="400"/>
      <c r="AF8" s="400">
        <v>36</v>
      </c>
      <c r="AG8" s="400">
        <v>36</v>
      </c>
      <c r="AH8" s="401">
        <v>36</v>
      </c>
      <c r="AI8" s="400">
        <v>36</v>
      </c>
      <c r="AJ8" s="400">
        <v>36</v>
      </c>
    </row>
    <row r="9" spans="1:36" ht="14.55" customHeight="1">
      <c r="A9" s="298" t="s">
        <v>104</v>
      </c>
      <c r="B9" s="400"/>
      <c r="C9" s="400"/>
      <c r="D9" s="400"/>
      <c r="E9" s="400"/>
      <c r="F9" s="400"/>
      <c r="G9" s="400">
        <v>3</v>
      </c>
      <c r="H9" s="400">
        <v>3</v>
      </c>
      <c r="I9" s="400">
        <v>3</v>
      </c>
      <c r="J9" s="400"/>
      <c r="K9" s="400"/>
      <c r="L9" s="400">
        <v>44</v>
      </c>
      <c r="M9" s="400">
        <v>44</v>
      </c>
      <c r="N9" s="400">
        <v>10</v>
      </c>
      <c r="O9" s="400">
        <v>10</v>
      </c>
      <c r="P9" s="400"/>
      <c r="Q9" s="400">
        <v>24</v>
      </c>
      <c r="R9" s="400">
        <v>24</v>
      </c>
      <c r="S9" s="400">
        <v>2</v>
      </c>
      <c r="T9" s="400"/>
      <c r="U9" s="400"/>
      <c r="V9" s="400"/>
      <c r="W9" s="400"/>
      <c r="X9" s="400"/>
      <c r="Y9" s="400"/>
      <c r="Z9" s="400"/>
      <c r="AA9" s="400"/>
      <c r="AB9" s="400"/>
      <c r="AC9" s="400"/>
      <c r="AD9" s="400"/>
      <c r="AE9" s="400"/>
      <c r="AF9" s="400">
        <v>71</v>
      </c>
      <c r="AG9" s="400">
        <v>71</v>
      </c>
      <c r="AH9" s="401">
        <v>15</v>
      </c>
      <c r="AI9" s="400">
        <v>10</v>
      </c>
      <c r="AJ9" s="400"/>
    </row>
    <row r="10" spans="1:36" ht="14.55" customHeight="1">
      <c r="A10" s="298" t="s">
        <v>105</v>
      </c>
      <c r="B10" s="400">
        <v>10</v>
      </c>
      <c r="C10" s="400">
        <v>10</v>
      </c>
      <c r="D10" s="400">
        <v>10</v>
      </c>
      <c r="E10" s="400"/>
      <c r="F10" s="400"/>
      <c r="G10" s="400"/>
      <c r="H10" s="400"/>
      <c r="I10" s="400"/>
      <c r="J10" s="400"/>
      <c r="K10" s="400"/>
      <c r="L10" s="400">
        <v>26</v>
      </c>
      <c r="M10" s="400">
        <v>26</v>
      </c>
      <c r="N10" s="400">
        <v>26</v>
      </c>
      <c r="O10" s="400">
        <v>26</v>
      </c>
      <c r="P10" s="400">
        <v>26</v>
      </c>
      <c r="Q10" s="400">
        <v>15</v>
      </c>
      <c r="R10" s="400">
        <v>15</v>
      </c>
      <c r="S10" s="400">
        <v>15</v>
      </c>
      <c r="T10" s="400"/>
      <c r="U10" s="400"/>
      <c r="V10" s="400">
        <v>37</v>
      </c>
      <c r="W10" s="400">
        <v>31</v>
      </c>
      <c r="X10" s="400">
        <v>32</v>
      </c>
      <c r="Y10" s="400"/>
      <c r="Z10" s="400"/>
      <c r="AA10" s="400"/>
      <c r="AB10" s="400"/>
      <c r="AC10" s="400"/>
      <c r="AD10" s="400"/>
      <c r="AE10" s="400"/>
      <c r="AF10" s="400">
        <v>88</v>
      </c>
      <c r="AG10" s="400">
        <v>82</v>
      </c>
      <c r="AH10" s="401">
        <v>83</v>
      </c>
      <c r="AI10" s="400">
        <v>26</v>
      </c>
      <c r="AJ10" s="400">
        <v>26</v>
      </c>
    </row>
    <row r="11" spans="1:36" ht="14.55" customHeight="1">
      <c r="A11" s="298" t="s">
        <v>106</v>
      </c>
      <c r="B11" s="400">
        <v>17</v>
      </c>
      <c r="C11" s="400">
        <v>17</v>
      </c>
      <c r="D11" s="400">
        <v>17</v>
      </c>
      <c r="E11" s="400"/>
      <c r="F11" s="400"/>
      <c r="G11" s="400">
        <v>1</v>
      </c>
      <c r="H11" s="400">
        <v>1</v>
      </c>
      <c r="I11" s="400">
        <v>1</v>
      </c>
      <c r="J11" s="400"/>
      <c r="K11" s="400"/>
      <c r="L11" s="400">
        <v>2</v>
      </c>
      <c r="M11" s="400">
        <v>2</v>
      </c>
      <c r="N11" s="400">
        <v>2</v>
      </c>
      <c r="O11" s="400"/>
      <c r="P11" s="400"/>
      <c r="Q11" s="400">
        <v>18</v>
      </c>
      <c r="R11" s="400">
        <v>18</v>
      </c>
      <c r="S11" s="400">
        <v>16</v>
      </c>
      <c r="T11" s="400"/>
      <c r="U11" s="400"/>
      <c r="V11" s="400">
        <v>49</v>
      </c>
      <c r="W11" s="400">
        <v>35</v>
      </c>
      <c r="X11" s="400">
        <v>49</v>
      </c>
      <c r="Y11" s="400"/>
      <c r="Z11" s="400"/>
      <c r="AA11" s="400"/>
      <c r="AB11" s="400"/>
      <c r="AC11" s="400"/>
      <c r="AD11" s="400"/>
      <c r="AE11" s="400"/>
      <c r="AF11" s="400">
        <v>87</v>
      </c>
      <c r="AG11" s="400">
        <v>73</v>
      </c>
      <c r="AH11" s="401">
        <v>85</v>
      </c>
      <c r="AI11" s="400"/>
      <c r="AJ11" s="400"/>
    </row>
    <row r="12" spans="1:36" ht="14.55" customHeight="1">
      <c r="A12" s="298" t="s">
        <v>107</v>
      </c>
      <c r="B12" s="400"/>
      <c r="C12" s="400"/>
      <c r="D12" s="400"/>
      <c r="E12" s="400"/>
      <c r="F12" s="400"/>
      <c r="G12" s="400"/>
      <c r="H12" s="400"/>
      <c r="I12" s="400"/>
      <c r="J12" s="400"/>
      <c r="K12" s="400"/>
      <c r="L12" s="400"/>
      <c r="M12" s="400"/>
      <c r="N12" s="400"/>
      <c r="O12" s="400"/>
      <c r="P12" s="400"/>
      <c r="Q12" s="400">
        <v>8</v>
      </c>
      <c r="R12" s="400">
        <v>8</v>
      </c>
      <c r="S12" s="400">
        <v>8</v>
      </c>
      <c r="T12" s="400"/>
      <c r="U12" s="400"/>
      <c r="V12" s="400">
        <v>121</v>
      </c>
      <c r="W12" s="400">
        <v>115</v>
      </c>
      <c r="X12" s="400">
        <v>6</v>
      </c>
      <c r="Y12" s="400"/>
      <c r="Z12" s="400"/>
      <c r="AA12" s="400">
        <v>2</v>
      </c>
      <c r="AB12" s="400"/>
      <c r="AC12" s="400"/>
      <c r="AD12" s="400"/>
      <c r="AE12" s="400"/>
      <c r="AF12" s="400">
        <v>131</v>
      </c>
      <c r="AG12" s="400">
        <v>123</v>
      </c>
      <c r="AH12" s="401">
        <v>14</v>
      </c>
      <c r="AI12" s="400"/>
      <c r="AJ12" s="400"/>
    </row>
    <row r="13" spans="1:36" ht="14.55" customHeight="1">
      <c r="A13" s="298" t="s">
        <v>108</v>
      </c>
      <c r="B13" s="400"/>
      <c r="C13" s="400"/>
      <c r="D13" s="400"/>
      <c r="E13" s="400"/>
      <c r="F13" s="400"/>
      <c r="G13" s="400">
        <v>1</v>
      </c>
      <c r="H13" s="400">
        <v>1</v>
      </c>
      <c r="I13" s="400">
        <v>1</v>
      </c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>
        <v>1</v>
      </c>
      <c r="AG13" s="400">
        <v>1</v>
      </c>
      <c r="AH13" s="401">
        <v>1</v>
      </c>
      <c r="AI13" s="400"/>
      <c r="AJ13" s="400"/>
    </row>
    <row r="14" spans="1:36" ht="14.55" customHeight="1">
      <c r="A14" s="298" t="s">
        <v>2783</v>
      </c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>
        <v>10</v>
      </c>
      <c r="AB14" s="400"/>
      <c r="AC14" s="400"/>
      <c r="AD14" s="400"/>
      <c r="AE14" s="400"/>
      <c r="AF14" s="400">
        <v>10</v>
      </c>
      <c r="AG14" s="400"/>
      <c r="AH14" s="401"/>
      <c r="AI14" s="400"/>
      <c r="AJ14" s="400"/>
    </row>
    <row r="15" spans="1:36" ht="14.55" customHeight="1">
      <c r="A15" s="298" t="s">
        <v>67</v>
      </c>
      <c r="B15" s="400">
        <v>57</v>
      </c>
      <c r="C15" s="400">
        <v>57</v>
      </c>
      <c r="D15" s="400">
        <v>55</v>
      </c>
      <c r="E15" s="400">
        <v>24</v>
      </c>
      <c r="F15" s="400">
        <v>13</v>
      </c>
      <c r="G15" s="400">
        <v>36</v>
      </c>
      <c r="H15" s="400">
        <v>36</v>
      </c>
      <c r="I15" s="400">
        <v>23</v>
      </c>
      <c r="J15" s="400">
        <v>22</v>
      </c>
      <c r="K15" s="400">
        <v>4</v>
      </c>
      <c r="L15" s="400">
        <v>96</v>
      </c>
      <c r="M15" s="400">
        <v>96</v>
      </c>
      <c r="N15" s="400">
        <v>60</v>
      </c>
      <c r="O15" s="400">
        <v>58</v>
      </c>
      <c r="P15" s="400">
        <v>42</v>
      </c>
      <c r="Q15" s="400">
        <v>112</v>
      </c>
      <c r="R15" s="400">
        <v>112</v>
      </c>
      <c r="S15" s="400">
        <v>68</v>
      </c>
      <c r="T15" s="400">
        <v>39</v>
      </c>
      <c r="U15" s="400">
        <v>18</v>
      </c>
      <c r="V15" s="400">
        <v>207</v>
      </c>
      <c r="W15" s="400">
        <v>181</v>
      </c>
      <c r="X15" s="400">
        <v>87</v>
      </c>
      <c r="Y15" s="400"/>
      <c r="Z15" s="400"/>
      <c r="AA15" s="400">
        <v>12</v>
      </c>
      <c r="AB15" s="400"/>
      <c r="AC15" s="400"/>
      <c r="AD15" s="400"/>
      <c r="AE15" s="400"/>
      <c r="AF15" s="400">
        <v>520</v>
      </c>
      <c r="AG15" s="400">
        <v>482</v>
      </c>
      <c r="AH15" s="401">
        <v>293</v>
      </c>
      <c r="AI15" s="400">
        <v>143</v>
      </c>
      <c r="AJ15" s="400">
        <v>77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8" bestFit="1" customWidth="1"/>
    <col min="2" max="2" width="12.375" style="168" customWidth="1"/>
    <col min="3" max="3" width="15.75" style="168" bestFit="1" customWidth="1"/>
    <col min="4" max="4" width="3.75" style="168" bestFit="1" customWidth="1"/>
    <col min="5" max="5" width="30.375" style="168" bestFit="1" customWidth="1"/>
    <col min="6" max="6" width="9.625" style="168" bestFit="1" customWidth="1"/>
    <col min="7" max="9" width="9" style="168" customWidth="1"/>
    <col min="10" max="16384" width="9" style="168"/>
  </cols>
  <sheetData>
    <row r="1" spans="1:6" s="124" customFormat="1" ht="16.5" customHeight="1">
      <c r="A1" s="121" t="s">
        <v>1435</v>
      </c>
      <c r="B1" s="121" t="s">
        <v>1431</v>
      </c>
      <c r="C1" s="121" t="s">
        <v>1432</v>
      </c>
      <c r="D1" s="122" t="s">
        <v>2147</v>
      </c>
      <c r="E1" s="121" t="s">
        <v>1993</v>
      </c>
      <c r="F1" s="121" t="s">
        <v>1438</v>
      </c>
    </row>
    <row r="2" spans="1:6">
      <c r="A2" s="166">
        <v>44467</v>
      </c>
      <c r="B2" s="169" t="s">
        <v>614</v>
      </c>
      <c r="C2" s="166" t="str">
        <f>VLOOKUP(B2,URS確認!$E:$F,2,FALSE)</f>
        <v>行庫資料維護</v>
      </c>
      <c r="D2" s="167">
        <v>1</v>
      </c>
      <c r="E2" s="168" t="s">
        <v>2148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6" width="9" style="6" customWidth="1"/>
    <col min="7" max="16384" width="9" style="6"/>
  </cols>
  <sheetData>
    <row r="1" spans="1:3" s="7" customFormat="1">
      <c r="A1" s="41" t="s">
        <v>2149</v>
      </c>
      <c r="B1" s="41" t="s">
        <v>1985</v>
      </c>
      <c r="C1" s="41" t="s">
        <v>2150</v>
      </c>
    </row>
    <row r="2" spans="1:3" ht="126" customHeight="1">
      <c r="A2" s="9">
        <v>1</v>
      </c>
      <c r="B2" s="8" t="s">
        <v>2151</v>
      </c>
      <c r="C2" s="40" t="s">
        <v>2152</v>
      </c>
    </row>
    <row r="3" spans="1:3">
      <c r="A3" s="7">
        <v>2</v>
      </c>
      <c r="B3" s="6" t="s">
        <v>2153</v>
      </c>
      <c r="C3" s="6" t="s">
        <v>2154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300" customWidth="1"/>
  </cols>
  <sheetData>
    <row r="1" spans="1:1" ht="110.25" customHeight="1">
      <c r="A1" s="3" t="s">
        <v>2155</v>
      </c>
    </row>
    <row r="3" spans="1:1">
      <c r="A3" s="10" t="s">
        <v>2156</v>
      </c>
    </row>
  </sheetData>
  <phoneticPr fontId="2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300" bestFit="1" customWidth="1"/>
    <col min="2" max="3" width="32.75" style="300" customWidth="1"/>
    <col min="4" max="4" width="12.75" style="300" customWidth="1"/>
    <col min="5" max="5" width="18.125" style="300" customWidth="1"/>
    <col min="6" max="6" width="12.25" style="300" customWidth="1"/>
    <col min="7" max="7" width="15.875" style="300" bestFit="1" customWidth="1"/>
    <col min="8" max="8" width="22.75" style="300" customWidth="1"/>
  </cols>
  <sheetData>
    <row r="1" spans="1:8" ht="37.5" customHeight="1" thickBot="1">
      <c r="A1" s="11" t="s">
        <v>2157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2158</v>
      </c>
      <c r="B2" s="15" t="s">
        <v>2159</v>
      </c>
      <c r="C2" s="15" t="s">
        <v>2160</v>
      </c>
      <c r="D2" s="15">
        <v>7001</v>
      </c>
      <c r="E2" s="15" t="s">
        <v>2161</v>
      </c>
      <c r="F2" s="13" t="s">
        <v>2119</v>
      </c>
      <c r="G2" s="14"/>
      <c r="H2" s="16"/>
    </row>
    <row r="3" spans="1:8" ht="24" customHeight="1">
      <c r="A3" s="18" t="s">
        <v>2162</v>
      </c>
      <c r="B3" s="18" t="s">
        <v>2163</v>
      </c>
      <c r="C3" s="18" t="s">
        <v>2164</v>
      </c>
      <c r="D3" s="18">
        <v>7180</v>
      </c>
      <c r="E3" s="18" t="s">
        <v>2161</v>
      </c>
      <c r="F3" s="17" t="s">
        <v>2119</v>
      </c>
      <c r="G3" s="36" t="s">
        <v>240</v>
      </c>
      <c r="H3" s="19"/>
    </row>
    <row r="4" spans="1:8" ht="24" customHeight="1">
      <c r="A4" s="22" t="s">
        <v>23</v>
      </c>
      <c r="B4" s="22" t="s">
        <v>2165</v>
      </c>
      <c r="C4" s="22" t="s">
        <v>2166</v>
      </c>
      <c r="D4" s="22">
        <v>7083</v>
      </c>
      <c r="E4" s="22" t="s">
        <v>2161</v>
      </c>
      <c r="F4" s="20" t="s">
        <v>2119</v>
      </c>
      <c r="G4" s="21" t="s">
        <v>1399</v>
      </c>
      <c r="H4" s="23"/>
    </row>
    <row r="5" spans="1:8" ht="24" customHeight="1">
      <c r="A5" s="22" t="s">
        <v>22</v>
      </c>
      <c r="B5" s="22" t="s">
        <v>2165</v>
      </c>
      <c r="C5" s="22" t="s">
        <v>2167</v>
      </c>
      <c r="D5" s="22">
        <v>7084</v>
      </c>
      <c r="E5" s="22" t="s">
        <v>2161</v>
      </c>
      <c r="F5" s="20" t="s">
        <v>2119</v>
      </c>
      <c r="G5" s="21" t="s">
        <v>1399</v>
      </c>
      <c r="H5" s="23"/>
    </row>
    <row r="6" spans="1:8" ht="24" customHeight="1">
      <c r="A6" s="22" t="s">
        <v>11</v>
      </c>
      <c r="B6" s="22" t="s">
        <v>2165</v>
      </c>
      <c r="C6" s="22" t="s">
        <v>2168</v>
      </c>
      <c r="D6" s="22">
        <v>7085</v>
      </c>
      <c r="E6" s="22" t="s">
        <v>2161</v>
      </c>
      <c r="F6" s="20" t="s">
        <v>2119</v>
      </c>
      <c r="G6" s="21" t="s">
        <v>1399</v>
      </c>
      <c r="H6" s="23"/>
    </row>
    <row r="7" spans="1:8" ht="24" customHeight="1">
      <c r="A7" s="22" t="s">
        <v>24</v>
      </c>
      <c r="B7" s="22" t="s">
        <v>2165</v>
      </c>
      <c r="C7" s="22" t="s">
        <v>2169</v>
      </c>
      <c r="D7" s="22">
        <v>7086</v>
      </c>
      <c r="E7" s="22" t="s">
        <v>2161</v>
      </c>
      <c r="F7" s="20" t="s">
        <v>2119</v>
      </c>
      <c r="G7" s="21" t="s">
        <v>1399</v>
      </c>
      <c r="H7" s="23"/>
    </row>
    <row r="8" spans="1:8" ht="24" customHeight="1">
      <c r="A8" s="22" t="s">
        <v>18</v>
      </c>
      <c r="B8" s="22" t="s">
        <v>2165</v>
      </c>
      <c r="C8" s="22" t="s">
        <v>2170</v>
      </c>
      <c r="D8" s="22">
        <v>7088</v>
      </c>
      <c r="E8" s="22" t="s">
        <v>2161</v>
      </c>
      <c r="F8" s="20" t="s">
        <v>2119</v>
      </c>
      <c r="G8" s="21" t="s">
        <v>1399</v>
      </c>
      <c r="H8" s="23"/>
    </row>
    <row r="9" spans="1:8" ht="24" customHeight="1">
      <c r="A9" s="57" t="s">
        <v>180</v>
      </c>
      <c r="B9" s="22" t="s">
        <v>2171</v>
      </c>
      <c r="C9" s="22" t="s">
        <v>2172</v>
      </c>
      <c r="D9" s="22">
        <v>7090</v>
      </c>
      <c r="E9" s="22" t="s">
        <v>2161</v>
      </c>
      <c r="F9" s="20" t="s">
        <v>2119</v>
      </c>
      <c r="G9" s="21" t="s">
        <v>1399</v>
      </c>
      <c r="H9" s="23"/>
    </row>
    <row r="10" spans="1:8" ht="24" customHeight="1">
      <c r="A10" s="26" t="s">
        <v>541</v>
      </c>
      <c r="B10" s="26" t="s">
        <v>2173</v>
      </c>
      <c r="C10" s="26" t="s">
        <v>2174</v>
      </c>
      <c r="D10" s="26">
        <v>7051</v>
      </c>
      <c r="E10" s="26" t="s">
        <v>2161</v>
      </c>
      <c r="F10" s="24" t="s">
        <v>2119</v>
      </c>
      <c r="G10" s="25" t="s">
        <v>2175</v>
      </c>
      <c r="H10" s="27"/>
    </row>
    <row r="11" spans="1:8" ht="24" customHeight="1">
      <c r="A11" s="26" t="s">
        <v>13</v>
      </c>
      <c r="B11" s="26" t="s">
        <v>2176</v>
      </c>
      <c r="C11" s="26" t="s">
        <v>2177</v>
      </c>
      <c r="D11" s="26">
        <v>7052</v>
      </c>
      <c r="E11" s="26" t="s">
        <v>2161</v>
      </c>
      <c r="F11" s="24" t="s">
        <v>2119</v>
      </c>
      <c r="G11" s="25" t="s">
        <v>2175</v>
      </c>
      <c r="H11" s="27"/>
    </row>
    <row r="12" spans="1:8" ht="24" customHeight="1">
      <c r="A12" s="26" t="s">
        <v>20</v>
      </c>
      <c r="B12" s="26" t="s">
        <v>2178</v>
      </c>
      <c r="C12" s="26" t="s">
        <v>2179</v>
      </c>
      <c r="D12" s="26">
        <v>7181</v>
      </c>
      <c r="E12" s="26" t="s">
        <v>2161</v>
      </c>
      <c r="F12" s="24" t="s">
        <v>2119</v>
      </c>
      <c r="G12" s="25" t="s">
        <v>2175</v>
      </c>
      <c r="H12" s="27"/>
    </row>
    <row r="13" spans="1:8" ht="24" customHeight="1">
      <c r="A13" s="26" t="s">
        <v>27</v>
      </c>
      <c r="B13" s="26" t="s">
        <v>2178</v>
      </c>
      <c r="C13" s="26" t="s">
        <v>2180</v>
      </c>
      <c r="D13" s="26">
        <v>7182</v>
      </c>
      <c r="E13" s="26" t="s">
        <v>2161</v>
      </c>
      <c r="F13" s="24" t="s">
        <v>2119</v>
      </c>
      <c r="G13" s="25" t="s">
        <v>2175</v>
      </c>
      <c r="H13" s="27"/>
    </row>
    <row r="14" spans="1:8" ht="24" customHeight="1">
      <c r="A14" s="26" t="s">
        <v>15</v>
      </c>
      <c r="B14" s="26" t="s">
        <v>2181</v>
      </c>
      <c r="C14" s="26" t="s">
        <v>2182</v>
      </c>
      <c r="D14" s="26">
        <v>7183</v>
      </c>
      <c r="E14" s="26" t="s">
        <v>2161</v>
      </c>
      <c r="F14" s="24" t="s">
        <v>2119</v>
      </c>
      <c r="G14" s="25" t="s">
        <v>2175</v>
      </c>
      <c r="H14" s="27"/>
    </row>
    <row r="15" spans="1:8" ht="24" hidden="1" customHeight="1">
      <c r="A15" s="26" t="s">
        <v>2183</v>
      </c>
      <c r="B15" s="26" t="s">
        <v>2184</v>
      </c>
      <c r="C15" s="26" t="e">
        <v>#N/A</v>
      </c>
      <c r="D15" s="26">
        <v>7301</v>
      </c>
      <c r="E15" s="26" t="s">
        <v>2161</v>
      </c>
      <c r="F15" s="24" t="s">
        <v>2119</v>
      </c>
      <c r="G15" s="25" t="s">
        <v>2175</v>
      </c>
      <c r="H15" s="27" t="s">
        <v>2185</v>
      </c>
    </row>
    <row r="16" spans="1:8" ht="24" hidden="1" customHeight="1">
      <c r="A16" s="26" t="s">
        <v>2186</v>
      </c>
      <c r="B16" s="26" t="s">
        <v>2187</v>
      </c>
      <c r="C16" s="26" t="e">
        <v>#N/A</v>
      </c>
      <c r="D16" s="26">
        <v>7305</v>
      </c>
      <c r="E16" s="26" t="s">
        <v>2161</v>
      </c>
      <c r="F16" s="24" t="s">
        <v>2119</v>
      </c>
      <c r="G16" s="25" t="s">
        <v>2175</v>
      </c>
      <c r="H16" s="27" t="s">
        <v>2188</v>
      </c>
    </row>
    <row r="17" spans="1:8" ht="24" hidden="1" customHeight="1">
      <c r="A17" s="26" t="s">
        <v>2189</v>
      </c>
      <c r="B17" s="26" t="s">
        <v>2187</v>
      </c>
      <c r="C17" s="26" t="e">
        <v>#N/A</v>
      </c>
      <c r="D17" s="26">
        <v>7306</v>
      </c>
      <c r="E17" s="26" t="s">
        <v>2161</v>
      </c>
      <c r="F17" s="24" t="s">
        <v>2119</v>
      </c>
      <c r="G17" s="25" t="s">
        <v>2175</v>
      </c>
      <c r="H17" s="27" t="s">
        <v>2190</v>
      </c>
    </row>
    <row r="18" spans="1:8" ht="24" hidden="1" customHeight="1">
      <c r="A18" s="26" t="s">
        <v>2191</v>
      </c>
      <c r="B18" s="26" t="s">
        <v>2184</v>
      </c>
      <c r="C18" s="26" t="e">
        <v>#N/A</v>
      </c>
      <c r="D18" s="26">
        <v>7311</v>
      </c>
      <c r="E18" s="26" t="s">
        <v>2161</v>
      </c>
      <c r="F18" s="24" t="s">
        <v>2119</v>
      </c>
      <c r="G18" s="25" t="s">
        <v>2175</v>
      </c>
      <c r="H18" s="27" t="s">
        <v>2192</v>
      </c>
    </row>
    <row r="19" spans="1:8" ht="24" hidden="1" customHeight="1">
      <c r="A19" s="26" t="s">
        <v>2193</v>
      </c>
      <c r="B19" s="26" t="s">
        <v>2187</v>
      </c>
      <c r="C19" s="26" t="e">
        <v>#N/A</v>
      </c>
      <c r="D19" s="26">
        <v>7312</v>
      </c>
      <c r="E19" s="26" t="s">
        <v>2161</v>
      </c>
      <c r="F19" s="24" t="s">
        <v>2119</v>
      </c>
      <c r="G19" s="25" t="s">
        <v>2175</v>
      </c>
      <c r="H19" s="27" t="s">
        <v>2194</v>
      </c>
    </row>
    <row r="20" spans="1:8" ht="24" hidden="1" customHeight="1">
      <c r="A20" s="26" t="s">
        <v>2195</v>
      </c>
      <c r="B20" s="26" t="s">
        <v>2196</v>
      </c>
      <c r="C20" s="26" t="e">
        <v>#N/A</v>
      </c>
      <c r="D20" s="26" t="s">
        <v>2197</v>
      </c>
      <c r="E20" s="26"/>
      <c r="F20" s="24" t="s">
        <v>2119</v>
      </c>
      <c r="G20" s="25" t="s">
        <v>2175</v>
      </c>
      <c r="H20" s="27" t="s">
        <v>2198</v>
      </c>
    </row>
    <row r="21" spans="1:8" ht="24" hidden="1" customHeight="1">
      <c r="A21" s="26" t="s">
        <v>2199</v>
      </c>
      <c r="B21" s="26" t="s">
        <v>2200</v>
      </c>
      <c r="C21" s="26" t="e">
        <v>#N/A</v>
      </c>
      <c r="D21" s="26" t="s">
        <v>2201</v>
      </c>
      <c r="E21" s="26"/>
      <c r="F21" s="24" t="s">
        <v>2119</v>
      </c>
      <c r="G21" s="25" t="s">
        <v>2175</v>
      </c>
      <c r="H21" s="27" t="s">
        <v>2202</v>
      </c>
    </row>
    <row r="22" spans="1:8" ht="24" hidden="1" customHeight="1">
      <c r="A22" s="26" t="s">
        <v>2203</v>
      </c>
      <c r="B22" s="26" t="s">
        <v>2200</v>
      </c>
      <c r="C22" s="26" t="e">
        <v>#N/A</v>
      </c>
      <c r="D22" s="26" t="s">
        <v>2204</v>
      </c>
      <c r="E22" s="26"/>
      <c r="F22" s="24" t="s">
        <v>2119</v>
      </c>
      <c r="G22" s="25" t="s">
        <v>2175</v>
      </c>
      <c r="H22" s="27" t="s">
        <v>2205</v>
      </c>
    </row>
    <row r="23" spans="1:8" ht="24" hidden="1" customHeight="1">
      <c r="A23" s="26" t="s">
        <v>2206</v>
      </c>
      <c r="B23" s="26" t="s">
        <v>2196</v>
      </c>
      <c r="C23" s="26" t="e">
        <v>#N/A</v>
      </c>
      <c r="D23" s="26" t="s">
        <v>2207</v>
      </c>
      <c r="E23" s="26"/>
      <c r="F23" s="24" t="s">
        <v>2119</v>
      </c>
      <c r="G23" s="25" t="s">
        <v>2175</v>
      </c>
      <c r="H23" s="27" t="s">
        <v>2208</v>
      </c>
    </row>
    <row r="24" spans="1:8" ht="24" hidden="1" customHeight="1">
      <c r="A24" s="26" t="s">
        <v>2209</v>
      </c>
      <c r="B24" s="26" t="s">
        <v>2184</v>
      </c>
      <c r="C24" s="26" t="e">
        <v>#N/A</v>
      </c>
      <c r="D24" s="26" t="s">
        <v>2207</v>
      </c>
      <c r="E24" s="26"/>
      <c r="F24" s="24" t="s">
        <v>2119</v>
      </c>
      <c r="G24" s="25" t="s">
        <v>2175</v>
      </c>
      <c r="H24" s="27" t="s">
        <v>2210</v>
      </c>
    </row>
    <row r="25" spans="1:8" ht="24" hidden="1" customHeight="1">
      <c r="A25" s="26" t="s">
        <v>2211</v>
      </c>
      <c r="B25" s="26" t="s">
        <v>2196</v>
      </c>
      <c r="C25" s="26" t="e">
        <v>#N/A</v>
      </c>
      <c r="D25" s="26" t="s">
        <v>2212</v>
      </c>
      <c r="E25" s="26"/>
      <c r="F25" s="24" t="s">
        <v>2119</v>
      </c>
      <c r="G25" s="25" t="s">
        <v>2175</v>
      </c>
      <c r="H25" s="27" t="s">
        <v>2213</v>
      </c>
    </row>
    <row r="26" spans="1:8" ht="24" hidden="1" customHeight="1">
      <c r="A26" s="26" t="s">
        <v>2214</v>
      </c>
      <c r="B26" s="26" t="s">
        <v>2196</v>
      </c>
      <c r="C26" s="26" t="e">
        <v>#N/A</v>
      </c>
      <c r="D26" s="26" t="s">
        <v>2215</v>
      </c>
      <c r="E26" s="26"/>
      <c r="F26" s="24" t="s">
        <v>2119</v>
      </c>
      <c r="G26" s="25" t="s">
        <v>2175</v>
      </c>
      <c r="H26" s="27" t="s">
        <v>2216</v>
      </c>
    </row>
    <row r="27" spans="1:8" ht="24" hidden="1" customHeight="1">
      <c r="A27" s="26" t="s">
        <v>2217</v>
      </c>
      <c r="B27" s="26" t="s">
        <v>2196</v>
      </c>
      <c r="C27" s="26" t="e">
        <v>#N/A</v>
      </c>
      <c r="D27" s="26" t="s">
        <v>2218</v>
      </c>
      <c r="E27" s="26"/>
      <c r="F27" s="24" t="s">
        <v>2119</v>
      </c>
      <c r="G27" s="25" t="s">
        <v>2175</v>
      </c>
      <c r="H27" s="27" t="s">
        <v>2219</v>
      </c>
    </row>
    <row r="28" spans="1:8" ht="24" hidden="1" customHeight="1">
      <c r="A28" s="26" t="s">
        <v>2220</v>
      </c>
      <c r="B28" s="26" t="s">
        <v>2184</v>
      </c>
      <c r="C28" s="26" t="e">
        <v>#N/A</v>
      </c>
      <c r="D28" s="26" t="s">
        <v>2218</v>
      </c>
      <c r="E28" s="26"/>
      <c r="F28" s="24" t="s">
        <v>2119</v>
      </c>
      <c r="G28" s="25" t="s">
        <v>2175</v>
      </c>
      <c r="H28" s="27" t="s">
        <v>2221</v>
      </c>
    </row>
    <row r="29" spans="1:8" ht="24" hidden="1" customHeight="1">
      <c r="A29" s="26" t="s">
        <v>2222</v>
      </c>
      <c r="B29" s="26" t="s">
        <v>2196</v>
      </c>
      <c r="C29" s="26" t="e">
        <v>#N/A</v>
      </c>
      <c r="D29" s="26" t="s">
        <v>2223</v>
      </c>
      <c r="E29" s="26"/>
      <c r="F29" s="24" t="s">
        <v>2119</v>
      </c>
      <c r="G29" s="25" t="s">
        <v>2175</v>
      </c>
      <c r="H29" s="27" t="s">
        <v>2224</v>
      </c>
    </row>
    <row r="30" spans="1:8" ht="24" hidden="1" customHeight="1">
      <c r="A30" s="26" t="s">
        <v>2225</v>
      </c>
      <c r="B30" s="26" t="s">
        <v>2187</v>
      </c>
      <c r="C30" s="26" t="e">
        <v>#N/A</v>
      </c>
      <c r="D30" s="26" t="s">
        <v>2218</v>
      </c>
      <c r="E30" s="26"/>
      <c r="F30" s="24" t="s">
        <v>2119</v>
      </c>
      <c r="G30" s="25" t="s">
        <v>2175</v>
      </c>
      <c r="H30" s="27" t="s">
        <v>2226</v>
      </c>
    </row>
    <row r="31" spans="1:8" ht="24" customHeight="1">
      <c r="A31" s="22" t="s">
        <v>2227</v>
      </c>
      <c r="B31" s="22" t="s">
        <v>2228</v>
      </c>
      <c r="C31" s="22" t="s">
        <v>2229</v>
      </c>
      <c r="D31" s="22">
        <v>7070</v>
      </c>
      <c r="E31" s="22" t="s">
        <v>2161</v>
      </c>
      <c r="F31" s="20" t="s">
        <v>2119</v>
      </c>
      <c r="G31" s="21" t="s">
        <v>1014</v>
      </c>
      <c r="H31" s="23"/>
    </row>
    <row r="32" spans="1:8" ht="24" customHeight="1">
      <c r="A32" s="22" t="s">
        <v>21</v>
      </c>
      <c r="B32" s="22" t="s">
        <v>2230</v>
      </c>
      <c r="C32" s="22" t="s">
        <v>2231</v>
      </c>
      <c r="D32" s="22">
        <v>7075</v>
      </c>
      <c r="E32" s="22" t="s">
        <v>2161</v>
      </c>
      <c r="F32" s="20" t="s">
        <v>2119</v>
      </c>
      <c r="G32" s="21" t="s">
        <v>1014</v>
      </c>
      <c r="H32" s="23"/>
    </row>
    <row r="33" spans="1:8" ht="24" customHeight="1">
      <c r="A33" s="22" t="s">
        <v>25</v>
      </c>
      <c r="B33" s="22" t="s">
        <v>2232</v>
      </c>
      <c r="C33" s="22" t="s">
        <v>2233</v>
      </c>
      <c r="D33" s="22">
        <v>7076</v>
      </c>
      <c r="E33" s="22" t="s">
        <v>2161</v>
      </c>
      <c r="F33" s="20" t="s">
        <v>2119</v>
      </c>
      <c r="G33" s="21" t="s">
        <v>1014</v>
      </c>
      <c r="H33" s="23"/>
    </row>
    <row r="34" spans="1:8" ht="24" customHeight="1">
      <c r="A34" s="22" t="s">
        <v>14</v>
      </c>
      <c r="B34" s="22" t="s">
        <v>2234</v>
      </c>
      <c r="C34" s="22" t="s">
        <v>2235</v>
      </c>
      <c r="D34" s="22">
        <v>7077</v>
      </c>
      <c r="E34" s="22" t="s">
        <v>2161</v>
      </c>
      <c r="F34" s="20" t="s">
        <v>2119</v>
      </c>
      <c r="G34" s="21" t="s">
        <v>1014</v>
      </c>
      <c r="H34" s="23"/>
    </row>
    <row r="35" spans="1:8" ht="24" hidden="1" customHeight="1">
      <c r="A35" s="22" t="s">
        <v>2236</v>
      </c>
      <c r="B35" s="22" t="s">
        <v>2232</v>
      </c>
      <c r="C35" s="22" t="e">
        <v>#N/A</v>
      </c>
      <c r="D35" s="22" t="s">
        <v>2237</v>
      </c>
      <c r="E35" s="22"/>
      <c r="F35" s="20" t="s">
        <v>2119</v>
      </c>
      <c r="G35" s="21" t="s">
        <v>1014</v>
      </c>
      <c r="H35" s="23" t="s">
        <v>2205</v>
      </c>
    </row>
    <row r="36" spans="1:8" ht="24" hidden="1" customHeight="1">
      <c r="A36" s="22" t="s">
        <v>2238</v>
      </c>
      <c r="B36" s="22" t="s">
        <v>2232</v>
      </c>
      <c r="C36" s="22" t="e">
        <v>#N/A</v>
      </c>
      <c r="D36" s="22" t="s">
        <v>2239</v>
      </c>
      <c r="E36" s="22"/>
      <c r="F36" s="20" t="s">
        <v>2119</v>
      </c>
      <c r="G36" s="21" t="s">
        <v>1014</v>
      </c>
      <c r="H36" s="23" t="s">
        <v>2240</v>
      </c>
    </row>
    <row r="37" spans="1:8" ht="24" customHeight="1">
      <c r="A37" s="30" t="s">
        <v>2241</v>
      </c>
      <c r="B37" s="30" t="s">
        <v>2242</v>
      </c>
      <c r="C37" s="30" t="s">
        <v>2243</v>
      </c>
      <c r="D37" s="30">
        <v>7060</v>
      </c>
      <c r="E37" s="30" t="s">
        <v>2161</v>
      </c>
      <c r="F37" s="28" t="s">
        <v>2119</v>
      </c>
      <c r="G37" s="29" t="s">
        <v>2244</v>
      </c>
      <c r="H37" s="31"/>
    </row>
    <row r="38" spans="1:8" ht="24" customHeight="1">
      <c r="A38" s="30" t="s">
        <v>249</v>
      </c>
      <c r="B38" s="30" t="s">
        <v>2245</v>
      </c>
      <c r="C38" s="30" t="s">
        <v>2246</v>
      </c>
      <c r="D38" s="30">
        <v>7062</v>
      </c>
      <c r="E38" s="30" t="s">
        <v>2161</v>
      </c>
      <c r="F38" s="28" t="s">
        <v>2119</v>
      </c>
      <c r="G38" s="29" t="s">
        <v>2244</v>
      </c>
      <c r="H38" s="31"/>
    </row>
    <row r="39" spans="1:8" ht="24" hidden="1" customHeight="1">
      <c r="A39" s="30" t="s">
        <v>2247</v>
      </c>
      <c r="B39" s="30" t="s">
        <v>2248</v>
      </c>
      <c r="C39" s="30" t="e">
        <v>#N/A</v>
      </c>
      <c r="D39" s="30">
        <v>7065</v>
      </c>
      <c r="E39" s="30" t="s">
        <v>2161</v>
      </c>
      <c r="F39" s="28" t="s">
        <v>2119</v>
      </c>
      <c r="G39" s="29" t="s">
        <v>2244</v>
      </c>
      <c r="H39" s="31"/>
    </row>
    <row r="40" spans="1:8" ht="24" customHeight="1">
      <c r="A40" s="30" t="s">
        <v>28</v>
      </c>
      <c r="B40" s="30" t="s">
        <v>2248</v>
      </c>
      <c r="C40" s="30" t="s">
        <v>2249</v>
      </c>
      <c r="D40" s="30">
        <v>7066</v>
      </c>
      <c r="E40" s="30" t="s">
        <v>2161</v>
      </c>
      <c r="F40" s="28" t="s">
        <v>2119</v>
      </c>
      <c r="G40" s="29" t="s">
        <v>2244</v>
      </c>
      <c r="H40" s="31"/>
    </row>
    <row r="41" spans="1:8" ht="24" customHeight="1">
      <c r="A41" s="30" t="s">
        <v>26</v>
      </c>
      <c r="B41" s="30" t="s">
        <v>2250</v>
      </c>
      <c r="C41" s="30" t="s">
        <v>2251</v>
      </c>
      <c r="D41" s="30">
        <v>7067</v>
      </c>
      <c r="E41" s="30" t="s">
        <v>2161</v>
      </c>
      <c r="F41" s="28" t="s">
        <v>2119</v>
      </c>
      <c r="G41" s="29" t="s">
        <v>2244</v>
      </c>
      <c r="H41" s="31"/>
    </row>
    <row r="42" spans="1:8" ht="24" hidden="1" customHeight="1">
      <c r="A42" s="30" t="s">
        <v>2252</v>
      </c>
      <c r="B42" s="30" t="s">
        <v>2178</v>
      </c>
      <c r="C42" s="30" t="e">
        <v>#N/A</v>
      </c>
      <c r="D42" s="30">
        <v>7270</v>
      </c>
      <c r="E42" s="30" t="s">
        <v>2161</v>
      </c>
      <c r="F42" s="28" t="s">
        <v>2119</v>
      </c>
      <c r="G42" s="29" t="s">
        <v>2244</v>
      </c>
      <c r="H42" s="31"/>
    </row>
    <row r="43" spans="1:8" ht="24" hidden="1" customHeight="1">
      <c r="A43" s="30" t="s">
        <v>2253</v>
      </c>
      <c r="B43" s="30" t="s">
        <v>2254</v>
      </c>
      <c r="C43" s="30" t="e">
        <v>#N/A</v>
      </c>
      <c r="D43" s="30">
        <v>7271</v>
      </c>
      <c r="E43" s="30" t="s">
        <v>2161</v>
      </c>
      <c r="F43" s="28" t="s">
        <v>2119</v>
      </c>
      <c r="G43" s="29" t="s">
        <v>2244</v>
      </c>
      <c r="H43" s="31"/>
    </row>
    <row r="44" spans="1:8" ht="24" hidden="1" customHeight="1">
      <c r="A44" s="30" t="s">
        <v>2255</v>
      </c>
      <c r="B44" s="30" t="s">
        <v>2256</v>
      </c>
      <c r="C44" s="30" t="e">
        <v>#N/A</v>
      </c>
      <c r="D44" s="30">
        <v>7273</v>
      </c>
      <c r="E44" s="30" t="s">
        <v>2161</v>
      </c>
      <c r="F44" s="28" t="s">
        <v>2119</v>
      </c>
      <c r="G44" s="29" t="s">
        <v>2244</v>
      </c>
      <c r="H44" s="31"/>
    </row>
    <row r="45" spans="1:8" ht="24" hidden="1" customHeight="1">
      <c r="A45" s="30" t="s">
        <v>2257</v>
      </c>
      <c r="B45" s="30" t="s">
        <v>2258</v>
      </c>
      <c r="C45" s="30" t="e">
        <v>#N/A</v>
      </c>
      <c r="D45" s="30">
        <v>7275</v>
      </c>
      <c r="E45" s="30" t="s">
        <v>2161</v>
      </c>
      <c r="F45" s="28" t="s">
        <v>2119</v>
      </c>
      <c r="G45" s="29" t="s">
        <v>2244</v>
      </c>
      <c r="H45" s="31"/>
    </row>
    <row r="46" spans="1:8" ht="24" hidden="1" customHeight="1">
      <c r="A46" s="30" t="s">
        <v>2259</v>
      </c>
      <c r="B46" s="30" t="s">
        <v>2250</v>
      </c>
      <c r="C46" s="30" t="e">
        <v>#N/A</v>
      </c>
      <c r="D46" s="30">
        <v>7276</v>
      </c>
      <c r="E46" s="30" t="s">
        <v>2161</v>
      </c>
      <c r="F46" s="28" t="s">
        <v>2119</v>
      </c>
      <c r="G46" s="29" t="s">
        <v>2244</v>
      </c>
      <c r="H46" s="31"/>
    </row>
    <row r="47" spans="1:8" ht="24" hidden="1" customHeight="1">
      <c r="A47" s="30" t="s">
        <v>2260</v>
      </c>
      <c r="B47" s="30" t="s">
        <v>2261</v>
      </c>
      <c r="C47" s="30" t="e">
        <v>#N/A</v>
      </c>
      <c r="D47" s="30">
        <v>7277</v>
      </c>
      <c r="E47" s="30" t="s">
        <v>2161</v>
      </c>
      <c r="F47" s="28" t="s">
        <v>2119</v>
      </c>
      <c r="G47" s="29" t="s">
        <v>2244</v>
      </c>
      <c r="H47" s="31"/>
    </row>
    <row r="48" spans="1:8" ht="24" hidden="1" customHeight="1">
      <c r="A48" s="30" t="s">
        <v>574</v>
      </c>
      <c r="B48" s="30" t="s">
        <v>2262</v>
      </c>
      <c r="C48" s="30" t="e">
        <v>#N/A</v>
      </c>
      <c r="D48" s="30">
        <v>7279</v>
      </c>
      <c r="E48" s="30" t="s">
        <v>2161</v>
      </c>
      <c r="F48" s="28" t="s">
        <v>2119</v>
      </c>
      <c r="G48" s="29" t="s">
        <v>2244</v>
      </c>
      <c r="H48" s="31"/>
    </row>
    <row r="49" spans="1:8" ht="24" hidden="1" customHeight="1">
      <c r="A49" s="30" t="s">
        <v>2263</v>
      </c>
      <c r="B49" s="30" t="s">
        <v>2261</v>
      </c>
      <c r="C49" s="30" t="e">
        <v>#N/A</v>
      </c>
      <c r="D49" s="30" t="s">
        <v>2264</v>
      </c>
      <c r="E49" s="30"/>
      <c r="F49" s="28" t="s">
        <v>2119</v>
      </c>
      <c r="G49" s="29" t="s">
        <v>2244</v>
      </c>
      <c r="H49" s="31" t="s">
        <v>2265</v>
      </c>
    </row>
    <row r="50" spans="1:8" ht="24" hidden="1" customHeight="1">
      <c r="A50" s="30" t="s">
        <v>2266</v>
      </c>
      <c r="B50" s="30" t="s">
        <v>2267</v>
      </c>
      <c r="C50" s="30" t="e">
        <v>#N/A</v>
      </c>
      <c r="D50" s="30" t="s">
        <v>2268</v>
      </c>
      <c r="E50" s="30"/>
      <c r="F50" s="28" t="s">
        <v>2119</v>
      </c>
      <c r="G50" s="29" t="s">
        <v>2244</v>
      </c>
      <c r="H50" s="31" t="s">
        <v>2202</v>
      </c>
    </row>
    <row r="51" spans="1:8" ht="24" hidden="1" customHeight="1">
      <c r="A51" s="30" t="s">
        <v>2269</v>
      </c>
      <c r="B51" s="30" t="s">
        <v>2254</v>
      </c>
      <c r="C51" s="30" t="e">
        <v>#N/A</v>
      </c>
      <c r="D51" s="30" t="s">
        <v>2270</v>
      </c>
      <c r="E51" s="30"/>
      <c r="F51" s="28" t="s">
        <v>2119</v>
      </c>
      <c r="G51" s="29" t="s">
        <v>2244</v>
      </c>
      <c r="H51" s="31" t="s">
        <v>2205</v>
      </c>
    </row>
    <row r="52" spans="1:8" ht="24" hidden="1" customHeight="1">
      <c r="A52" s="30" t="s">
        <v>2271</v>
      </c>
      <c r="B52" s="30" t="s">
        <v>2256</v>
      </c>
      <c r="C52" s="30" t="e">
        <v>#N/A</v>
      </c>
      <c r="D52" s="30" t="s">
        <v>2268</v>
      </c>
      <c r="E52" s="30"/>
      <c r="F52" s="28" t="s">
        <v>2119</v>
      </c>
      <c r="G52" s="29" t="s">
        <v>2244</v>
      </c>
      <c r="H52" s="31" t="s">
        <v>2202</v>
      </c>
    </row>
    <row r="53" spans="1:8" ht="24" hidden="1" customHeight="1">
      <c r="A53" s="30" t="s">
        <v>2272</v>
      </c>
      <c r="B53" s="30" t="s">
        <v>2258</v>
      </c>
      <c r="C53" s="30" t="e">
        <v>#N/A</v>
      </c>
      <c r="D53" s="30" t="s">
        <v>2273</v>
      </c>
      <c r="E53" s="30"/>
      <c r="F53" s="28" t="s">
        <v>2119</v>
      </c>
      <c r="G53" s="29" t="s">
        <v>2244</v>
      </c>
      <c r="H53" s="31" t="s">
        <v>2274</v>
      </c>
    </row>
    <row r="54" spans="1:8" ht="24" hidden="1" customHeight="1">
      <c r="A54" s="30" t="s">
        <v>2275</v>
      </c>
      <c r="B54" s="30" t="s">
        <v>2258</v>
      </c>
      <c r="C54" s="30" t="e">
        <v>#N/A</v>
      </c>
      <c r="D54" s="30" t="s">
        <v>2270</v>
      </c>
      <c r="E54" s="30"/>
      <c r="F54" s="28" t="s">
        <v>2119</v>
      </c>
      <c r="G54" s="29" t="s">
        <v>2244</v>
      </c>
      <c r="H54" s="31" t="s">
        <v>2205</v>
      </c>
    </row>
    <row r="55" spans="1:8" ht="24" hidden="1" customHeight="1">
      <c r="A55" s="30" t="s">
        <v>2276</v>
      </c>
      <c r="B55" s="30" t="s">
        <v>2258</v>
      </c>
      <c r="C55" s="30" t="e">
        <v>#N/A</v>
      </c>
      <c r="D55" s="30" t="s">
        <v>2268</v>
      </c>
      <c r="E55" s="30"/>
      <c r="F55" s="28" t="s">
        <v>2119</v>
      </c>
      <c r="G55" s="29" t="s">
        <v>2244</v>
      </c>
      <c r="H55" s="31" t="s">
        <v>2202</v>
      </c>
    </row>
    <row r="56" spans="1:8" ht="24" hidden="1" customHeight="1">
      <c r="A56" s="30" t="s">
        <v>2277</v>
      </c>
      <c r="B56" s="30" t="s">
        <v>2178</v>
      </c>
      <c r="C56" s="30" t="e">
        <v>#N/A</v>
      </c>
      <c r="D56" s="30" t="s">
        <v>2268</v>
      </c>
      <c r="E56" s="30"/>
      <c r="F56" s="28" t="s">
        <v>2119</v>
      </c>
      <c r="G56" s="29" t="s">
        <v>2244</v>
      </c>
      <c r="H56" s="31" t="s">
        <v>2202</v>
      </c>
    </row>
    <row r="57" spans="1:8" ht="24" hidden="1" customHeight="1" thickBot="1">
      <c r="A57" s="34" t="s">
        <v>2278</v>
      </c>
      <c r="B57" s="34" t="s">
        <v>2258</v>
      </c>
      <c r="C57" s="34" t="e">
        <v>#N/A</v>
      </c>
      <c r="D57" s="34" t="s">
        <v>2279</v>
      </c>
      <c r="E57" s="34"/>
      <c r="F57" s="32" t="s">
        <v>2119</v>
      </c>
      <c r="G57" s="33" t="s">
        <v>2244</v>
      </c>
      <c r="H57" s="35" t="s">
        <v>2240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311" bestFit="1" customWidth="1"/>
    <col min="2" max="2" width="21.25" style="311" bestFit="1" customWidth="1"/>
    <col min="3" max="3" width="5.75" style="311" bestFit="1" customWidth="1"/>
    <col min="4" max="4" width="9.125" style="311" bestFit="1" customWidth="1"/>
    <col min="5" max="5" width="5.75" style="311" bestFit="1" customWidth="1"/>
    <col min="6" max="6" width="8.625" style="311" bestFit="1" customWidth="1"/>
    <col min="7" max="7" width="5.75" style="311" bestFit="1" customWidth="1"/>
    <col min="8" max="8" width="9" style="311" bestFit="1" customWidth="1"/>
    <col min="9" max="9" width="5.75" style="311" bestFit="1" customWidth="1"/>
    <col min="10" max="10" width="9.125" style="311" bestFit="1" customWidth="1"/>
    <col min="11" max="11" width="5.75" style="311" bestFit="1" customWidth="1"/>
    <col min="12" max="12" width="8.875" style="311" bestFit="1" customWidth="1"/>
    <col min="13" max="13" width="5.75" style="311" bestFit="1" customWidth="1"/>
    <col min="14" max="14" width="9.125" style="311" bestFit="1" customWidth="1"/>
    <col min="15" max="15" width="5.75" style="311" bestFit="1" customWidth="1"/>
    <col min="16" max="16" width="9.25" style="311" bestFit="1" customWidth="1"/>
    <col min="17" max="17" width="5.75" style="311" bestFit="1" customWidth="1"/>
    <col min="18" max="18" width="9.125" style="311" bestFit="1" customWidth="1"/>
    <col min="19" max="19" width="5.75" style="311" bestFit="1" customWidth="1"/>
    <col min="20" max="20" width="9.25" style="311" bestFit="1" customWidth="1"/>
    <col min="21" max="21" width="5.75" style="311" bestFit="1" customWidth="1"/>
    <col min="22" max="22" width="9.125" style="311" bestFit="1" customWidth="1"/>
    <col min="23" max="23" width="5.75" style="311" bestFit="1" customWidth="1"/>
    <col min="24" max="24" width="9.25" style="311" bestFit="1" customWidth="1"/>
    <col min="25" max="25" width="5.75" style="311" bestFit="1" customWidth="1"/>
    <col min="26" max="26" width="8.75" style="311" bestFit="1" customWidth="1"/>
    <col min="27" max="27" width="5.75" style="311" bestFit="1" customWidth="1"/>
    <col min="28" max="28" width="7.75" style="311" bestFit="1" customWidth="1"/>
    <col min="29" max="29" width="5.75" style="311" bestFit="1" customWidth="1"/>
    <col min="30" max="30" width="8.125" style="311" bestFit="1" customWidth="1"/>
    <col min="31" max="31" width="5.75" style="311" bestFit="1" customWidth="1"/>
    <col min="32" max="32" width="8" style="311" bestFit="1" customWidth="1"/>
    <col min="33" max="33" width="5.75" style="311" bestFit="1" customWidth="1"/>
    <col min="34" max="34" width="10.25" style="311" bestFit="1" customWidth="1"/>
    <col min="35" max="35" width="5.75" style="311" bestFit="1" customWidth="1"/>
    <col min="36" max="37" width="13.25" style="311" bestFit="1" customWidth="1"/>
    <col min="38" max="38" width="8.875" style="311" bestFit="1" customWidth="1"/>
    <col min="39" max="39" width="5.75" style="311" bestFit="1" customWidth="1"/>
    <col min="40" max="40" width="8.75" style="311" bestFit="1" customWidth="1"/>
    <col min="41" max="41" width="5.75" style="311" bestFit="1" customWidth="1"/>
    <col min="42" max="42" width="8.875" style="311" bestFit="1" customWidth="1"/>
    <col min="43" max="43" width="5.75" style="311" bestFit="1" customWidth="1"/>
    <col min="44" max="44" width="8.875" style="311" bestFit="1" customWidth="1"/>
    <col min="45" max="45" width="5.75" style="311" bestFit="1" customWidth="1"/>
    <col min="46" max="46" width="9.25" style="311" bestFit="1" customWidth="1"/>
    <col min="47" max="47" width="5.75" style="311" bestFit="1" customWidth="1"/>
    <col min="48" max="48" width="9.125" style="311" bestFit="1" customWidth="1"/>
    <col min="49" max="49" width="5.75" style="311" bestFit="1" customWidth="1"/>
    <col min="50" max="50" width="9.25" style="311" bestFit="1" customWidth="1"/>
    <col min="51" max="51" width="5.75" style="311" bestFit="1" customWidth="1"/>
    <col min="52" max="52" width="9.125" style="311" bestFit="1" customWidth="1"/>
    <col min="53" max="53" width="5.75" style="311" bestFit="1" customWidth="1"/>
    <col min="54" max="54" width="9.25" style="311" bestFit="1" customWidth="1"/>
    <col min="55" max="55" width="5.75" style="311" bestFit="1" customWidth="1"/>
    <col min="56" max="56" width="9.125" style="311" bestFit="1" customWidth="1"/>
    <col min="57" max="57" width="5.75" style="311" bestFit="1" customWidth="1"/>
    <col min="58" max="61" width="13.25" style="311" bestFit="1" customWidth="1"/>
    <col min="62" max="64" width="8.75" style="311" customWidth="1"/>
    <col min="65" max="16384" width="8.75" style="311"/>
  </cols>
  <sheetData>
    <row r="1" spans="1:61">
      <c r="A1" s="364" t="s">
        <v>2280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5" customFormat="1">
      <c r="A2" s="366" t="s">
        <v>2281</v>
      </c>
      <c r="B2" s="367" t="s">
        <v>2282</v>
      </c>
      <c r="C2" s="368"/>
      <c r="D2" s="369"/>
      <c r="E2" s="369"/>
      <c r="F2" s="370">
        <v>44396</v>
      </c>
      <c r="G2" s="370"/>
      <c r="H2" s="370" t="str">
        <f t="shared" ref="H2:H12" si="0">D40</f>
        <v>7月20日</v>
      </c>
      <c r="I2" s="370"/>
      <c r="J2" s="370" t="str">
        <f t="shared" ref="J2:J12" si="1">F40</f>
        <v>7月21日</v>
      </c>
      <c r="K2" s="370"/>
      <c r="L2" s="370" t="str">
        <f t="shared" ref="L2:L12" si="2">H40</f>
        <v>7月22日</v>
      </c>
      <c r="M2" s="370"/>
      <c r="N2" s="370" t="str">
        <f t="shared" ref="N2:N12" si="3">J40</f>
        <v>7月26日</v>
      </c>
      <c r="O2" s="370"/>
      <c r="P2" s="370" t="str">
        <f t="shared" ref="P2:P12" si="4">L40</f>
        <v>7月27日</v>
      </c>
      <c r="Q2" s="370"/>
      <c r="R2" s="370" t="str">
        <f t="shared" ref="R2:R12" si="5">N40</f>
        <v>8月23日</v>
      </c>
      <c r="S2" s="370"/>
      <c r="T2" s="370" t="str">
        <f t="shared" ref="T2:T12" si="6">P40</f>
        <v>8月24日</v>
      </c>
      <c r="U2" s="370"/>
      <c r="V2" s="370" t="str">
        <f t="shared" ref="V2:V12" si="7">R40</f>
        <v>8月25日</v>
      </c>
      <c r="W2" s="370"/>
      <c r="X2" s="370" t="str">
        <f t="shared" ref="X2:X12" si="8">T40</f>
        <v>8月26日</v>
      </c>
      <c r="Y2" s="370"/>
      <c r="Z2" s="370" t="str">
        <f t="shared" ref="Z2:Z12" si="9">V40</f>
        <v>8月27日</v>
      </c>
      <c r="AA2" s="370"/>
      <c r="AB2" s="370" t="str">
        <f t="shared" ref="AB2:AB12" si="10">X40</f>
        <v>8月30日</v>
      </c>
      <c r="AC2" s="370"/>
      <c r="AD2" s="370" t="str">
        <f t="shared" ref="AD2:AD12" si="11">Z40</f>
        <v>8月31日</v>
      </c>
      <c r="AE2" s="370"/>
      <c r="AF2" s="370" t="str">
        <f t="shared" ref="AF2:AF12" si="12">AB40</f>
        <v>9月1日</v>
      </c>
      <c r="AG2" s="370"/>
      <c r="AH2" s="370" t="str">
        <f t="shared" ref="AH2:AH12" si="13">AD40</f>
        <v>9月2日</v>
      </c>
      <c r="AI2" s="370"/>
      <c r="AJ2" s="370" t="str">
        <f t="shared" ref="AJ2:AJ12" si="14">AF40</f>
        <v>9月3日</v>
      </c>
      <c r="AK2" s="370"/>
      <c r="AL2" s="370" t="str">
        <f t="shared" ref="AL2:AL12" si="15">AH40</f>
        <v>&gt;2021/9/4</v>
      </c>
      <c r="AM2" s="370"/>
      <c r="AN2" s="370" t="str">
        <f t="shared" ref="AN2:AN12" si="16">AJ40</f>
        <v>預計 的加總</v>
      </c>
      <c r="AO2" s="370"/>
      <c r="AP2" s="370">
        <f t="shared" ref="AP2:AP12" si="17">AL40</f>
        <v>0</v>
      </c>
      <c r="AQ2" s="370"/>
      <c r="AR2" s="370">
        <f t="shared" ref="AR2:AR12" si="18">AN40</f>
        <v>0</v>
      </c>
      <c r="AS2" s="370"/>
      <c r="AT2" s="370">
        <f t="shared" ref="AT2:AT12" si="19">AP40</f>
        <v>0</v>
      </c>
      <c r="AU2" s="370"/>
      <c r="AV2" s="370">
        <f t="shared" ref="AV2:AV12" si="20">AR40</f>
        <v>0</v>
      </c>
      <c r="AW2" s="370"/>
      <c r="AX2" s="370">
        <f t="shared" ref="AX2:AX12" si="21">AT40</f>
        <v>0</v>
      </c>
      <c r="AY2" s="370"/>
      <c r="AZ2" s="370">
        <f t="shared" ref="AZ2:AZ12" si="22">AV40</f>
        <v>0</v>
      </c>
      <c r="BA2" s="370"/>
      <c r="BB2" s="370">
        <f t="shared" ref="BB2:BB12" si="23">AX40</f>
        <v>0</v>
      </c>
      <c r="BC2" s="370"/>
      <c r="BD2" s="370">
        <f t="shared" ref="BD2:BD12" si="24">AZ40</f>
        <v>0</v>
      </c>
      <c r="BE2" s="370"/>
      <c r="BF2" s="370">
        <f t="shared" ref="BF2:BF12" si="25">BB40</f>
        <v>0</v>
      </c>
      <c r="BG2" s="370"/>
      <c r="BH2" s="370">
        <f t="shared" ref="BH2:BH12" si="26">BD40</f>
        <v>0</v>
      </c>
      <c r="BI2" s="370"/>
    </row>
    <row r="3" spans="1:61">
      <c r="A3" s="50" t="str">
        <f t="shared" ref="A3:A12" si="27">A41</f>
        <v>業務大類</v>
      </c>
      <c r="B3" s="50" t="s">
        <v>2142</v>
      </c>
      <c r="C3" s="50" t="s">
        <v>81</v>
      </c>
      <c r="D3" s="50" t="s">
        <v>2143</v>
      </c>
      <c r="E3" s="50" t="s">
        <v>2283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11">
        <f t="shared" si="28"/>
        <v>0</v>
      </c>
      <c r="G4" s="311">
        <f t="shared" si="29"/>
        <v>0</v>
      </c>
      <c r="H4" s="311">
        <f t="shared" si="0"/>
        <v>0</v>
      </c>
      <c r="I4" s="311">
        <f t="shared" si="30"/>
        <v>0</v>
      </c>
      <c r="J4" s="311">
        <f t="shared" si="1"/>
        <v>0</v>
      </c>
      <c r="K4" s="311">
        <f t="shared" si="31"/>
        <v>0</v>
      </c>
      <c r="L4" s="311">
        <f t="shared" si="2"/>
        <v>9</v>
      </c>
      <c r="M4" s="311">
        <f t="shared" si="32"/>
        <v>9</v>
      </c>
      <c r="N4" s="311">
        <f t="shared" si="3"/>
        <v>4</v>
      </c>
      <c r="O4" s="311">
        <f t="shared" si="33"/>
        <v>4</v>
      </c>
      <c r="P4" s="311">
        <f t="shared" si="4"/>
        <v>0</v>
      </c>
      <c r="Q4" s="311">
        <f t="shared" si="34"/>
        <v>0</v>
      </c>
      <c r="R4" s="311">
        <f t="shared" si="5"/>
        <v>0</v>
      </c>
      <c r="S4" s="311">
        <f t="shared" si="35"/>
        <v>0</v>
      </c>
      <c r="T4" s="311">
        <f t="shared" si="6"/>
        <v>0</v>
      </c>
      <c r="U4" s="311">
        <f t="shared" si="36"/>
        <v>0</v>
      </c>
      <c r="V4" s="311">
        <f t="shared" si="7"/>
        <v>0</v>
      </c>
      <c r="W4" s="311">
        <f t="shared" si="37"/>
        <v>0</v>
      </c>
      <c r="X4" s="311">
        <f t="shared" si="8"/>
        <v>0</v>
      </c>
      <c r="Y4" s="311">
        <f t="shared" si="38"/>
        <v>0</v>
      </c>
      <c r="Z4" s="311">
        <f t="shared" si="9"/>
        <v>0</v>
      </c>
      <c r="AA4" s="311">
        <f t="shared" si="39"/>
        <v>0</v>
      </c>
      <c r="AB4" s="311">
        <f t="shared" si="10"/>
        <v>0</v>
      </c>
      <c r="AC4" s="311">
        <f t="shared" si="40"/>
        <v>0</v>
      </c>
      <c r="AD4" s="311">
        <f t="shared" si="11"/>
        <v>0</v>
      </c>
      <c r="AE4" s="311">
        <f t="shared" si="41"/>
        <v>0</v>
      </c>
      <c r="AF4" s="311">
        <f t="shared" si="12"/>
        <v>0</v>
      </c>
      <c r="AG4" s="311">
        <f t="shared" si="42"/>
        <v>0</v>
      </c>
      <c r="AH4" s="311">
        <f t="shared" si="13"/>
        <v>0</v>
      </c>
      <c r="AI4" s="311">
        <f t="shared" si="43"/>
        <v>0</v>
      </c>
      <c r="AJ4" s="311">
        <f t="shared" si="14"/>
        <v>0</v>
      </c>
      <c r="AK4" s="311">
        <f t="shared" si="44"/>
        <v>0</v>
      </c>
      <c r="AL4" s="311">
        <f t="shared" si="15"/>
        <v>3</v>
      </c>
      <c r="AM4" s="311">
        <f t="shared" si="45"/>
        <v>3</v>
      </c>
      <c r="AN4" s="311">
        <f t="shared" si="16"/>
        <v>16</v>
      </c>
      <c r="AO4" s="311">
        <f t="shared" si="46"/>
        <v>16</v>
      </c>
      <c r="AP4" s="311">
        <f t="shared" si="17"/>
        <v>0</v>
      </c>
      <c r="AQ4" s="311">
        <f t="shared" si="47"/>
        <v>0</v>
      </c>
      <c r="AR4" s="311">
        <f t="shared" si="18"/>
        <v>0</v>
      </c>
      <c r="AS4" s="311">
        <f t="shared" si="48"/>
        <v>0</v>
      </c>
      <c r="AT4" s="311">
        <f t="shared" si="19"/>
        <v>0</v>
      </c>
      <c r="AU4" s="311">
        <f t="shared" si="49"/>
        <v>0</v>
      </c>
      <c r="AV4" s="311">
        <f t="shared" si="20"/>
        <v>0</v>
      </c>
      <c r="AW4" s="311">
        <f t="shared" si="50"/>
        <v>0</v>
      </c>
      <c r="AX4" s="311">
        <f t="shared" si="21"/>
        <v>0</v>
      </c>
      <c r="AY4" s="311">
        <f t="shared" si="51"/>
        <v>0</v>
      </c>
      <c r="AZ4" s="311">
        <f t="shared" si="22"/>
        <v>0</v>
      </c>
      <c r="BA4" s="311">
        <f t="shared" si="52"/>
        <v>0</v>
      </c>
      <c r="BB4" s="311">
        <f t="shared" si="23"/>
        <v>0</v>
      </c>
      <c r="BC4" s="311">
        <f t="shared" si="53"/>
        <v>0</v>
      </c>
      <c r="BD4" s="311">
        <f t="shared" si="24"/>
        <v>0</v>
      </c>
      <c r="BE4" s="311">
        <f t="shared" si="54"/>
        <v>0</v>
      </c>
      <c r="BF4" s="311">
        <f t="shared" si="25"/>
        <v>0</v>
      </c>
      <c r="BG4" s="311">
        <f t="shared" si="55"/>
        <v>0</v>
      </c>
      <c r="BH4" s="311">
        <f t="shared" si="26"/>
        <v>0</v>
      </c>
      <c r="BI4" s="311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11">
        <f t="shared" si="28"/>
        <v>0</v>
      </c>
      <c r="G5" s="311">
        <f t="shared" si="29"/>
        <v>0</v>
      </c>
      <c r="H5" s="311">
        <f t="shared" si="0"/>
        <v>0</v>
      </c>
      <c r="I5" s="311">
        <f t="shared" si="30"/>
        <v>0</v>
      </c>
      <c r="J5" s="311">
        <f t="shared" si="1"/>
        <v>0</v>
      </c>
      <c r="K5" s="311">
        <f t="shared" si="31"/>
        <v>0</v>
      </c>
      <c r="L5" s="311">
        <f t="shared" si="2"/>
        <v>0</v>
      </c>
      <c r="M5" s="311">
        <f t="shared" si="32"/>
        <v>0</v>
      </c>
      <c r="N5" s="311">
        <f t="shared" si="3"/>
        <v>5</v>
      </c>
      <c r="O5" s="311">
        <f t="shared" si="33"/>
        <v>5</v>
      </c>
      <c r="P5" s="311">
        <f t="shared" si="4"/>
        <v>12</v>
      </c>
      <c r="Q5" s="311">
        <f t="shared" si="34"/>
        <v>12</v>
      </c>
      <c r="R5" s="311">
        <f t="shared" si="5"/>
        <v>9</v>
      </c>
      <c r="S5" s="311">
        <f t="shared" si="35"/>
        <v>9</v>
      </c>
      <c r="T5" s="311">
        <f t="shared" si="6"/>
        <v>6</v>
      </c>
      <c r="U5" s="311">
        <f t="shared" si="36"/>
        <v>6</v>
      </c>
      <c r="V5" s="311">
        <f t="shared" si="7"/>
        <v>4</v>
      </c>
      <c r="W5" s="311">
        <f t="shared" si="37"/>
        <v>4</v>
      </c>
      <c r="X5" s="311">
        <f t="shared" si="8"/>
        <v>4</v>
      </c>
      <c r="Y5" s="311">
        <f t="shared" si="38"/>
        <v>4</v>
      </c>
      <c r="Z5" s="311">
        <f t="shared" si="9"/>
        <v>4</v>
      </c>
      <c r="AA5" s="311">
        <f t="shared" si="39"/>
        <v>4</v>
      </c>
      <c r="AB5" s="311">
        <f t="shared" si="10"/>
        <v>0</v>
      </c>
      <c r="AC5" s="311">
        <f t="shared" si="40"/>
        <v>0</v>
      </c>
      <c r="AD5" s="311">
        <f t="shared" si="11"/>
        <v>0</v>
      </c>
      <c r="AE5" s="311">
        <f t="shared" si="41"/>
        <v>0</v>
      </c>
      <c r="AF5" s="311">
        <f t="shared" si="12"/>
        <v>0</v>
      </c>
      <c r="AG5" s="311">
        <f t="shared" si="42"/>
        <v>0</v>
      </c>
      <c r="AH5" s="311">
        <f t="shared" si="13"/>
        <v>4</v>
      </c>
      <c r="AI5" s="311">
        <f t="shared" si="43"/>
        <v>4</v>
      </c>
      <c r="AJ5" s="311">
        <f t="shared" si="14"/>
        <v>0</v>
      </c>
      <c r="AK5" s="311">
        <f t="shared" si="44"/>
        <v>0</v>
      </c>
      <c r="AL5" s="311">
        <f t="shared" si="15"/>
        <v>32</v>
      </c>
      <c r="AM5" s="311">
        <f t="shared" si="45"/>
        <v>32</v>
      </c>
      <c r="AN5" s="311">
        <f t="shared" si="16"/>
        <v>80</v>
      </c>
      <c r="AO5" s="311">
        <f t="shared" si="46"/>
        <v>80</v>
      </c>
      <c r="AP5" s="311">
        <f t="shared" si="17"/>
        <v>0</v>
      </c>
      <c r="AQ5" s="311">
        <f t="shared" si="47"/>
        <v>0</v>
      </c>
      <c r="AR5" s="311">
        <f t="shared" si="18"/>
        <v>0</v>
      </c>
      <c r="AS5" s="311">
        <f t="shared" si="48"/>
        <v>0</v>
      </c>
      <c r="AT5" s="311">
        <f t="shared" si="19"/>
        <v>0</v>
      </c>
      <c r="AU5" s="311">
        <f t="shared" si="49"/>
        <v>0</v>
      </c>
      <c r="AV5" s="311">
        <f t="shared" si="20"/>
        <v>0</v>
      </c>
      <c r="AW5" s="311">
        <f t="shared" si="50"/>
        <v>0</v>
      </c>
      <c r="AX5" s="311">
        <f t="shared" si="21"/>
        <v>0</v>
      </c>
      <c r="AY5" s="311">
        <f t="shared" si="51"/>
        <v>0</v>
      </c>
      <c r="AZ5" s="311">
        <f t="shared" si="22"/>
        <v>0</v>
      </c>
      <c r="BA5" s="311">
        <f t="shared" si="52"/>
        <v>0</v>
      </c>
      <c r="BB5" s="311">
        <f t="shared" si="23"/>
        <v>0</v>
      </c>
      <c r="BC5" s="311">
        <f t="shared" si="53"/>
        <v>0</v>
      </c>
      <c r="BD5" s="311">
        <f t="shared" si="24"/>
        <v>0</v>
      </c>
      <c r="BE5" s="311">
        <f t="shared" si="54"/>
        <v>0</v>
      </c>
      <c r="BF5" s="311">
        <f t="shared" si="25"/>
        <v>0</v>
      </c>
      <c r="BG5" s="311">
        <f t="shared" si="55"/>
        <v>0</v>
      </c>
      <c r="BH5" s="311">
        <f t="shared" si="26"/>
        <v>0</v>
      </c>
      <c r="BI5" s="311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11">
        <f t="shared" si="28"/>
        <v>0</v>
      </c>
      <c r="G6" s="311">
        <f t="shared" si="29"/>
        <v>0</v>
      </c>
      <c r="H6" s="311">
        <f t="shared" si="0"/>
        <v>0</v>
      </c>
      <c r="I6" s="311">
        <f t="shared" si="30"/>
        <v>0</v>
      </c>
      <c r="J6" s="311">
        <f t="shared" si="1"/>
        <v>0</v>
      </c>
      <c r="K6" s="311">
        <f t="shared" si="31"/>
        <v>0</v>
      </c>
      <c r="L6" s="311">
        <f t="shared" si="2"/>
        <v>0</v>
      </c>
      <c r="M6" s="311">
        <f t="shared" si="32"/>
        <v>0</v>
      </c>
      <c r="N6" s="311">
        <f t="shared" si="3"/>
        <v>0</v>
      </c>
      <c r="O6" s="311">
        <f t="shared" si="33"/>
        <v>0</v>
      </c>
      <c r="P6" s="311">
        <f t="shared" si="4"/>
        <v>0</v>
      </c>
      <c r="Q6" s="311">
        <f t="shared" si="34"/>
        <v>0</v>
      </c>
      <c r="R6" s="311">
        <f t="shared" si="5"/>
        <v>0</v>
      </c>
      <c r="S6" s="311">
        <f t="shared" si="35"/>
        <v>0</v>
      </c>
      <c r="T6" s="311">
        <f t="shared" si="6"/>
        <v>0</v>
      </c>
      <c r="U6" s="311">
        <f t="shared" si="36"/>
        <v>0</v>
      </c>
      <c r="V6" s="311">
        <f t="shared" si="7"/>
        <v>0</v>
      </c>
      <c r="W6" s="311">
        <f t="shared" si="37"/>
        <v>0</v>
      </c>
      <c r="X6" s="311">
        <f t="shared" si="8"/>
        <v>0</v>
      </c>
      <c r="Y6" s="311">
        <f t="shared" si="38"/>
        <v>0</v>
      </c>
      <c r="Z6" s="311">
        <f t="shared" si="9"/>
        <v>0</v>
      </c>
      <c r="AA6" s="311">
        <f t="shared" si="39"/>
        <v>0</v>
      </c>
      <c r="AB6" s="311">
        <f t="shared" si="10"/>
        <v>1</v>
      </c>
      <c r="AC6" s="311">
        <f t="shared" si="40"/>
        <v>1</v>
      </c>
      <c r="AD6" s="311">
        <f t="shared" si="11"/>
        <v>3</v>
      </c>
      <c r="AE6" s="311">
        <f t="shared" si="41"/>
        <v>3</v>
      </c>
      <c r="AF6" s="311">
        <f t="shared" si="12"/>
        <v>3</v>
      </c>
      <c r="AG6" s="311">
        <f t="shared" si="42"/>
        <v>3</v>
      </c>
      <c r="AH6" s="311">
        <f t="shared" si="13"/>
        <v>1</v>
      </c>
      <c r="AI6" s="311">
        <f t="shared" si="43"/>
        <v>1</v>
      </c>
      <c r="AJ6" s="311">
        <f t="shared" si="14"/>
        <v>5</v>
      </c>
      <c r="AK6" s="311">
        <f t="shared" si="44"/>
        <v>5</v>
      </c>
      <c r="AL6" s="311">
        <f t="shared" si="15"/>
        <v>23</v>
      </c>
      <c r="AM6" s="311">
        <f t="shared" si="45"/>
        <v>23</v>
      </c>
      <c r="AN6" s="311">
        <f t="shared" si="16"/>
        <v>36</v>
      </c>
      <c r="AO6" s="311">
        <f t="shared" si="46"/>
        <v>36</v>
      </c>
      <c r="AP6" s="311">
        <f t="shared" si="17"/>
        <v>0</v>
      </c>
      <c r="AQ6" s="311">
        <f t="shared" si="47"/>
        <v>0</v>
      </c>
      <c r="AR6" s="311">
        <f t="shared" si="18"/>
        <v>0</v>
      </c>
      <c r="AS6" s="311">
        <f t="shared" si="48"/>
        <v>0</v>
      </c>
      <c r="AT6" s="311">
        <f t="shared" si="19"/>
        <v>0</v>
      </c>
      <c r="AU6" s="311">
        <f t="shared" si="49"/>
        <v>0</v>
      </c>
      <c r="AV6" s="311">
        <f t="shared" si="20"/>
        <v>0</v>
      </c>
      <c r="AW6" s="311">
        <f t="shared" si="50"/>
        <v>0</v>
      </c>
      <c r="AX6" s="311">
        <f t="shared" si="21"/>
        <v>0</v>
      </c>
      <c r="AY6" s="311">
        <f t="shared" si="51"/>
        <v>0</v>
      </c>
      <c r="AZ6" s="311">
        <f t="shared" si="22"/>
        <v>0</v>
      </c>
      <c r="BA6" s="311">
        <f t="shared" si="52"/>
        <v>0</v>
      </c>
      <c r="BB6" s="311">
        <f t="shared" si="23"/>
        <v>0</v>
      </c>
      <c r="BC6" s="311">
        <f t="shared" si="53"/>
        <v>0</v>
      </c>
      <c r="BD6" s="311">
        <f t="shared" si="24"/>
        <v>0</v>
      </c>
      <c r="BE6" s="311">
        <f t="shared" si="54"/>
        <v>0</v>
      </c>
      <c r="BF6" s="311">
        <f t="shared" si="25"/>
        <v>0</v>
      </c>
      <c r="BG6" s="311">
        <f t="shared" si="55"/>
        <v>0</v>
      </c>
      <c r="BH6" s="311">
        <f t="shared" si="26"/>
        <v>0</v>
      </c>
      <c r="BI6" s="311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142</v>
      </c>
      <c r="D7" s="51">
        <f t="shared" si="59"/>
        <v>142</v>
      </c>
      <c r="E7" s="37" t="e">
        <f t="shared" si="60"/>
        <v>#DIV/0!</v>
      </c>
      <c r="F7" s="311">
        <f t="shared" si="28"/>
        <v>0</v>
      </c>
      <c r="G7" s="311">
        <f t="shared" si="29"/>
        <v>0</v>
      </c>
      <c r="H7" s="311">
        <f t="shared" si="0"/>
        <v>0</v>
      </c>
      <c r="I7" s="311">
        <f t="shared" si="30"/>
        <v>0</v>
      </c>
      <c r="J7" s="311">
        <f t="shared" si="1"/>
        <v>0</v>
      </c>
      <c r="K7" s="311">
        <f t="shared" si="31"/>
        <v>0</v>
      </c>
      <c r="L7" s="311">
        <f t="shared" si="2"/>
        <v>0</v>
      </c>
      <c r="M7" s="311">
        <f t="shared" si="32"/>
        <v>0</v>
      </c>
      <c r="N7" s="311">
        <f t="shared" si="3"/>
        <v>0</v>
      </c>
      <c r="O7" s="311">
        <f t="shared" si="33"/>
        <v>0</v>
      </c>
      <c r="P7" s="311">
        <f t="shared" si="4"/>
        <v>0</v>
      </c>
      <c r="Q7" s="311">
        <f t="shared" si="34"/>
        <v>0</v>
      </c>
      <c r="R7" s="311">
        <f t="shared" si="5"/>
        <v>0</v>
      </c>
      <c r="S7" s="311">
        <f t="shared" si="35"/>
        <v>0</v>
      </c>
      <c r="T7" s="311">
        <f t="shared" si="6"/>
        <v>0</v>
      </c>
      <c r="U7" s="311">
        <f t="shared" si="36"/>
        <v>0</v>
      </c>
      <c r="V7" s="311">
        <f t="shared" si="7"/>
        <v>0</v>
      </c>
      <c r="W7" s="311">
        <f t="shared" si="37"/>
        <v>0</v>
      </c>
      <c r="X7" s="311">
        <f t="shared" si="8"/>
        <v>0</v>
      </c>
      <c r="Y7" s="311">
        <f t="shared" si="38"/>
        <v>0</v>
      </c>
      <c r="Z7" s="311">
        <f t="shared" si="9"/>
        <v>0</v>
      </c>
      <c r="AA7" s="311">
        <f t="shared" si="39"/>
        <v>0</v>
      </c>
      <c r="AB7" s="311">
        <f t="shared" si="10"/>
        <v>3</v>
      </c>
      <c r="AC7" s="311">
        <f t="shared" si="40"/>
        <v>3</v>
      </c>
      <c r="AD7" s="311">
        <f t="shared" si="11"/>
        <v>0</v>
      </c>
      <c r="AE7" s="311">
        <f t="shared" si="41"/>
        <v>0</v>
      </c>
      <c r="AF7" s="311">
        <f t="shared" si="12"/>
        <v>0</v>
      </c>
      <c r="AG7" s="311">
        <f t="shared" si="42"/>
        <v>0</v>
      </c>
      <c r="AH7" s="311">
        <f t="shared" si="13"/>
        <v>0</v>
      </c>
      <c r="AI7" s="311">
        <f t="shared" si="43"/>
        <v>0</v>
      </c>
      <c r="AJ7" s="311">
        <f t="shared" si="14"/>
        <v>0</v>
      </c>
      <c r="AK7" s="311">
        <f t="shared" si="44"/>
        <v>0</v>
      </c>
      <c r="AL7" s="311">
        <f t="shared" si="15"/>
        <v>68</v>
      </c>
      <c r="AM7" s="311">
        <f t="shared" si="45"/>
        <v>68</v>
      </c>
      <c r="AN7" s="311">
        <f t="shared" si="16"/>
        <v>71</v>
      </c>
      <c r="AO7" s="311">
        <f t="shared" si="46"/>
        <v>71</v>
      </c>
      <c r="AP7" s="311">
        <f t="shared" si="17"/>
        <v>0</v>
      </c>
      <c r="AQ7" s="311">
        <f t="shared" si="47"/>
        <v>0</v>
      </c>
      <c r="AR7" s="311">
        <f t="shared" si="18"/>
        <v>0</v>
      </c>
      <c r="AS7" s="311">
        <f t="shared" si="48"/>
        <v>0</v>
      </c>
      <c r="AT7" s="311">
        <f t="shared" si="19"/>
        <v>0</v>
      </c>
      <c r="AU7" s="311">
        <f t="shared" si="49"/>
        <v>0</v>
      </c>
      <c r="AV7" s="311">
        <f t="shared" si="20"/>
        <v>0</v>
      </c>
      <c r="AW7" s="311">
        <f t="shared" si="50"/>
        <v>0</v>
      </c>
      <c r="AX7" s="311">
        <f t="shared" si="21"/>
        <v>0</v>
      </c>
      <c r="AY7" s="311">
        <f t="shared" si="51"/>
        <v>0</v>
      </c>
      <c r="AZ7" s="311">
        <f t="shared" si="22"/>
        <v>0</v>
      </c>
      <c r="BA7" s="311">
        <f t="shared" si="52"/>
        <v>0</v>
      </c>
      <c r="BB7" s="311">
        <f t="shared" si="23"/>
        <v>0</v>
      </c>
      <c r="BC7" s="311">
        <f t="shared" si="53"/>
        <v>0</v>
      </c>
      <c r="BD7" s="311">
        <f t="shared" si="24"/>
        <v>0</v>
      </c>
      <c r="BE7" s="311">
        <f t="shared" si="54"/>
        <v>0</v>
      </c>
      <c r="BF7" s="311">
        <f t="shared" si="25"/>
        <v>0</v>
      </c>
      <c r="BG7" s="311">
        <f t="shared" si="55"/>
        <v>0</v>
      </c>
      <c r="BH7" s="311">
        <f t="shared" si="26"/>
        <v>0</v>
      </c>
      <c r="BI7" s="311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164</v>
      </c>
      <c r="E8" s="37" t="e">
        <f t="shared" si="60"/>
        <v>#DIV/0!</v>
      </c>
      <c r="F8" s="311">
        <f t="shared" si="28"/>
        <v>5</v>
      </c>
      <c r="G8" s="311">
        <f t="shared" si="29"/>
        <v>5</v>
      </c>
      <c r="H8" s="311">
        <f t="shared" si="0"/>
        <v>5</v>
      </c>
      <c r="I8" s="311">
        <f t="shared" si="30"/>
        <v>5</v>
      </c>
      <c r="J8" s="311">
        <f t="shared" si="1"/>
        <v>0</v>
      </c>
      <c r="K8" s="311">
        <f t="shared" si="31"/>
        <v>0</v>
      </c>
      <c r="L8" s="311">
        <f t="shared" si="2"/>
        <v>0</v>
      </c>
      <c r="M8" s="311">
        <f t="shared" si="32"/>
        <v>0</v>
      </c>
      <c r="N8" s="311">
        <f t="shared" si="3"/>
        <v>0</v>
      </c>
      <c r="O8" s="311">
        <f t="shared" si="33"/>
        <v>0</v>
      </c>
      <c r="P8" s="311">
        <f t="shared" si="4"/>
        <v>0</v>
      </c>
      <c r="Q8" s="311">
        <f t="shared" si="34"/>
        <v>0</v>
      </c>
      <c r="R8" s="311">
        <f t="shared" si="5"/>
        <v>0</v>
      </c>
      <c r="S8" s="311">
        <f t="shared" si="35"/>
        <v>0</v>
      </c>
      <c r="T8" s="311">
        <f t="shared" si="6"/>
        <v>0</v>
      </c>
      <c r="U8" s="311">
        <f t="shared" si="36"/>
        <v>0</v>
      </c>
      <c r="V8" s="311">
        <f t="shared" si="7"/>
        <v>0</v>
      </c>
      <c r="W8" s="311">
        <f t="shared" si="37"/>
        <v>0</v>
      </c>
      <c r="X8" s="311">
        <f t="shared" si="8"/>
        <v>0</v>
      </c>
      <c r="Y8" s="311">
        <f t="shared" si="38"/>
        <v>0</v>
      </c>
      <c r="Z8" s="311">
        <f t="shared" si="9"/>
        <v>0</v>
      </c>
      <c r="AA8" s="311">
        <f t="shared" si="39"/>
        <v>0</v>
      </c>
      <c r="AB8" s="311">
        <f t="shared" si="10"/>
        <v>0</v>
      </c>
      <c r="AC8" s="311">
        <f t="shared" si="40"/>
        <v>0</v>
      </c>
      <c r="AD8" s="311">
        <f t="shared" si="11"/>
        <v>0</v>
      </c>
      <c r="AE8" s="311">
        <f t="shared" si="41"/>
        <v>0</v>
      </c>
      <c r="AF8" s="311">
        <f t="shared" si="12"/>
        <v>0</v>
      </c>
      <c r="AG8" s="311">
        <f t="shared" si="42"/>
        <v>0</v>
      </c>
      <c r="AH8" s="311">
        <f t="shared" si="13"/>
        <v>0</v>
      </c>
      <c r="AI8" s="311">
        <f t="shared" si="43"/>
        <v>0</v>
      </c>
      <c r="AJ8" s="311">
        <f t="shared" si="14"/>
        <v>0</v>
      </c>
      <c r="AK8" s="311">
        <f t="shared" si="44"/>
        <v>0</v>
      </c>
      <c r="AL8" s="311">
        <f t="shared" si="15"/>
        <v>78</v>
      </c>
      <c r="AM8" s="311">
        <f t="shared" si="45"/>
        <v>72</v>
      </c>
      <c r="AN8" s="311">
        <f t="shared" si="16"/>
        <v>88</v>
      </c>
      <c r="AO8" s="311">
        <f t="shared" si="46"/>
        <v>82</v>
      </c>
      <c r="AP8" s="311">
        <f t="shared" si="17"/>
        <v>0</v>
      </c>
      <c r="AQ8" s="311">
        <f t="shared" si="47"/>
        <v>0</v>
      </c>
      <c r="AR8" s="311">
        <f t="shared" si="18"/>
        <v>0</v>
      </c>
      <c r="AS8" s="311">
        <f t="shared" si="48"/>
        <v>0</v>
      </c>
      <c r="AT8" s="311">
        <f t="shared" si="19"/>
        <v>0</v>
      </c>
      <c r="AU8" s="311">
        <f t="shared" si="49"/>
        <v>0</v>
      </c>
      <c r="AV8" s="311">
        <f t="shared" si="20"/>
        <v>0</v>
      </c>
      <c r="AW8" s="311">
        <f t="shared" si="50"/>
        <v>0</v>
      </c>
      <c r="AX8" s="311">
        <f t="shared" si="21"/>
        <v>0</v>
      </c>
      <c r="AY8" s="311">
        <f t="shared" si="51"/>
        <v>0</v>
      </c>
      <c r="AZ8" s="311">
        <f t="shared" si="22"/>
        <v>0</v>
      </c>
      <c r="BA8" s="311">
        <f t="shared" si="52"/>
        <v>0</v>
      </c>
      <c r="BB8" s="311">
        <f t="shared" si="23"/>
        <v>0</v>
      </c>
      <c r="BC8" s="311">
        <f t="shared" si="53"/>
        <v>0</v>
      </c>
      <c r="BD8" s="311">
        <f t="shared" si="24"/>
        <v>0</v>
      </c>
      <c r="BE8" s="311">
        <f t="shared" si="54"/>
        <v>0</v>
      </c>
      <c r="BF8" s="311">
        <f t="shared" si="25"/>
        <v>0</v>
      </c>
      <c r="BG8" s="311">
        <f t="shared" si="55"/>
        <v>0</v>
      </c>
      <c r="BH8" s="311">
        <f t="shared" si="26"/>
        <v>0</v>
      </c>
      <c r="BI8" s="311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174</v>
      </c>
      <c r="D9" s="51">
        <f t="shared" si="59"/>
        <v>146</v>
      </c>
      <c r="E9" s="37" t="e">
        <f t="shared" si="60"/>
        <v>#DIV/0!</v>
      </c>
      <c r="F9" s="311">
        <f t="shared" si="28"/>
        <v>2</v>
      </c>
      <c r="G9" s="311">
        <f t="shared" si="29"/>
        <v>2</v>
      </c>
      <c r="H9" s="311">
        <f t="shared" si="0"/>
        <v>11</v>
      </c>
      <c r="I9" s="311">
        <f t="shared" si="30"/>
        <v>11</v>
      </c>
      <c r="J9" s="311">
        <f t="shared" si="1"/>
        <v>4</v>
      </c>
      <c r="K9" s="311">
        <f t="shared" si="31"/>
        <v>4</v>
      </c>
      <c r="L9" s="311">
        <f t="shared" si="2"/>
        <v>0</v>
      </c>
      <c r="M9" s="311">
        <f t="shared" si="32"/>
        <v>0</v>
      </c>
      <c r="N9" s="311">
        <f t="shared" si="3"/>
        <v>0</v>
      </c>
      <c r="O9" s="311">
        <f t="shared" si="33"/>
        <v>0</v>
      </c>
      <c r="P9" s="311">
        <f t="shared" si="4"/>
        <v>0</v>
      </c>
      <c r="Q9" s="311">
        <f t="shared" si="34"/>
        <v>0</v>
      </c>
      <c r="R9" s="311">
        <f t="shared" si="5"/>
        <v>0</v>
      </c>
      <c r="S9" s="311">
        <f t="shared" si="35"/>
        <v>0</v>
      </c>
      <c r="T9" s="311">
        <f t="shared" si="6"/>
        <v>0</v>
      </c>
      <c r="U9" s="311">
        <f t="shared" si="36"/>
        <v>0</v>
      </c>
      <c r="V9" s="311">
        <f t="shared" si="7"/>
        <v>0</v>
      </c>
      <c r="W9" s="311">
        <f t="shared" si="37"/>
        <v>0</v>
      </c>
      <c r="X9" s="311">
        <f t="shared" si="8"/>
        <v>0</v>
      </c>
      <c r="Y9" s="311">
        <f t="shared" si="38"/>
        <v>0</v>
      </c>
      <c r="Z9" s="311">
        <f t="shared" si="9"/>
        <v>0</v>
      </c>
      <c r="AA9" s="311">
        <f t="shared" si="39"/>
        <v>0</v>
      </c>
      <c r="AB9" s="311">
        <f t="shared" si="10"/>
        <v>0</v>
      </c>
      <c r="AC9" s="311">
        <f t="shared" si="40"/>
        <v>0</v>
      </c>
      <c r="AD9" s="311">
        <f t="shared" si="11"/>
        <v>1</v>
      </c>
      <c r="AE9" s="311">
        <f t="shared" si="41"/>
        <v>1</v>
      </c>
      <c r="AF9" s="311">
        <f t="shared" si="12"/>
        <v>0</v>
      </c>
      <c r="AG9" s="311">
        <f t="shared" si="42"/>
        <v>0</v>
      </c>
      <c r="AH9" s="311">
        <f t="shared" si="13"/>
        <v>0</v>
      </c>
      <c r="AI9" s="311">
        <f t="shared" si="43"/>
        <v>0</v>
      </c>
      <c r="AJ9" s="311">
        <f t="shared" si="14"/>
        <v>0</v>
      </c>
      <c r="AK9" s="311">
        <f t="shared" si="44"/>
        <v>0</v>
      </c>
      <c r="AL9" s="311">
        <f t="shared" si="15"/>
        <v>69</v>
      </c>
      <c r="AM9" s="311">
        <f t="shared" si="45"/>
        <v>55</v>
      </c>
      <c r="AN9" s="311">
        <f t="shared" si="16"/>
        <v>87</v>
      </c>
      <c r="AO9" s="311">
        <f t="shared" si="46"/>
        <v>73</v>
      </c>
      <c r="AP9" s="311">
        <f t="shared" si="17"/>
        <v>0</v>
      </c>
      <c r="AQ9" s="311">
        <f t="shared" si="47"/>
        <v>0</v>
      </c>
      <c r="AR9" s="311">
        <f t="shared" si="18"/>
        <v>0</v>
      </c>
      <c r="AS9" s="311">
        <f t="shared" si="48"/>
        <v>0</v>
      </c>
      <c r="AT9" s="311">
        <f t="shared" si="19"/>
        <v>0</v>
      </c>
      <c r="AU9" s="311">
        <f t="shared" si="49"/>
        <v>0</v>
      </c>
      <c r="AV9" s="311">
        <f t="shared" si="20"/>
        <v>0</v>
      </c>
      <c r="AW9" s="311">
        <f t="shared" si="50"/>
        <v>0</v>
      </c>
      <c r="AX9" s="311">
        <f t="shared" si="21"/>
        <v>0</v>
      </c>
      <c r="AY9" s="311">
        <f t="shared" si="51"/>
        <v>0</v>
      </c>
      <c r="AZ9" s="311">
        <f t="shared" si="22"/>
        <v>0</v>
      </c>
      <c r="BA9" s="311">
        <f t="shared" si="52"/>
        <v>0</v>
      </c>
      <c r="BB9" s="311">
        <f t="shared" si="23"/>
        <v>0</v>
      </c>
      <c r="BC9" s="311">
        <f t="shared" si="53"/>
        <v>0</v>
      </c>
      <c r="BD9" s="311">
        <f t="shared" si="24"/>
        <v>0</v>
      </c>
      <c r="BE9" s="311">
        <f t="shared" si="54"/>
        <v>0</v>
      </c>
      <c r="BF9" s="311">
        <f t="shared" si="25"/>
        <v>0</v>
      </c>
      <c r="BG9" s="311">
        <f t="shared" si="55"/>
        <v>0</v>
      </c>
      <c r="BH9" s="311">
        <f t="shared" si="26"/>
        <v>0</v>
      </c>
      <c r="BI9" s="311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262</v>
      </c>
      <c r="D10" s="51">
        <f t="shared" si="59"/>
        <v>246</v>
      </c>
      <c r="E10" s="37" t="e">
        <f t="shared" si="60"/>
        <v>#DIV/0!</v>
      </c>
      <c r="F10" s="311">
        <f t="shared" si="28"/>
        <v>0</v>
      </c>
      <c r="G10" s="311">
        <f t="shared" si="29"/>
        <v>0</v>
      </c>
      <c r="H10" s="311">
        <f t="shared" si="0"/>
        <v>0</v>
      </c>
      <c r="I10" s="311">
        <f t="shared" si="30"/>
        <v>0</v>
      </c>
      <c r="J10" s="311">
        <f t="shared" si="1"/>
        <v>0</v>
      </c>
      <c r="K10" s="311">
        <f t="shared" si="31"/>
        <v>0</v>
      </c>
      <c r="L10" s="311">
        <f t="shared" si="2"/>
        <v>0</v>
      </c>
      <c r="M10" s="311">
        <f t="shared" si="32"/>
        <v>0</v>
      </c>
      <c r="N10" s="311">
        <f t="shared" si="3"/>
        <v>0</v>
      </c>
      <c r="O10" s="311">
        <f t="shared" si="33"/>
        <v>0</v>
      </c>
      <c r="P10" s="311">
        <f t="shared" si="4"/>
        <v>0</v>
      </c>
      <c r="Q10" s="311">
        <f t="shared" si="34"/>
        <v>0</v>
      </c>
      <c r="R10" s="311">
        <f t="shared" si="5"/>
        <v>0</v>
      </c>
      <c r="S10" s="311">
        <f t="shared" si="35"/>
        <v>0</v>
      </c>
      <c r="T10" s="311">
        <f t="shared" si="6"/>
        <v>0</v>
      </c>
      <c r="U10" s="311">
        <f t="shared" si="36"/>
        <v>0</v>
      </c>
      <c r="V10" s="311">
        <f t="shared" si="7"/>
        <v>0</v>
      </c>
      <c r="W10" s="311">
        <f t="shared" si="37"/>
        <v>0</v>
      </c>
      <c r="X10" s="311">
        <f t="shared" si="8"/>
        <v>0</v>
      </c>
      <c r="Y10" s="311">
        <f t="shared" si="38"/>
        <v>0</v>
      </c>
      <c r="Z10" s="311">
        <f t="shared" si="9"/>
        <v>0</v>
      </c>
      <c r="AA10" s="311">
        <f t="shared" si="39"/>
        <v>0</v>
      </c>
      <c r="AB10" s="311">
        <f t="shared" si="10"/>
        <v>0</v>
      </c>
      <c r="AC10" s="311">
        <f t="shared" si="40"/>
        <v>0</v>
      </c>
      <c r="AD10" s="311">
        <f t="shared" si="11"/>
        <v>0</v>
      </c>
      <c r="AE10" s="311">
        <f t="shared" si="41"/>
        <v>0</v>
      </c>
      <c r="AF10" s="311">
        <f t="shared" si="12"/>
        <v>0</v>
      </c>
      <c r="AG10" s="311">
        <f t="shared" si="42"/>
        <v>0</v>
      </c>
      <c r="AH10" s="311">
        <f t="shared" si="13"/>
        <v>0</v>
      </c>
      <c r="AI10" s="311">
        <f t="shared" si="43"/>
        <v>0</v>
      </c>
      <c r="AJ10" s="311">
        <f t="shared" si="14"/>
        <v>0</v>
      </c>
      <c r="AK10" s="311">
        <f t="shared" si="44"/>
        <v>0</v>
      </c>
      <c r="AL10" s="311">
        <f t="shared" si="15"/>
        <v>131</v>
      </c>
      <c r="AM10" s="311">
        <f t="shared" si="45"/>
        <v>123</v>
      </c>
      <c r="AN10" s="311">
        <f t="shared" si="16"/>
        <v>131</v>
      </c>
      <c r="AO10" s="311">
        <f t="shared" si="46"/>
        <v>123</v>
      </c>
      <c r="AP10" s="311">
        <f t="shared" si="17"/>
        <v>0</v>
      </c>
      <c r="AQ10" s="311">
        <f t="shared" si="47"/>
        <v>0</v>
      </c>
      <c r="AR10" s="311">
        <f t="shared" si="18"/>
        <v>0</v>
      </c>
      <c r="AS10" s="311">
        <f t="shared" si="48"/>
        <v>0</v>
      </c>
      <c r="AT10" s="311">
        <f t="shared" si="19"/>
        <v>0</v>
      </c>
      <c r="AU10" s="311">
        <f t="shared" si="49"/>
        <v>0</v>
      </c>
      <c r="AV10" s="311">
        <f t="shared" si="20"/>
        <v>0</v>
      </c>
      <c r="AW10" s="311">
        <f t="shared" si="50"/>
        <v>0</v>
      </c>
      <c r="AX10" s="311">
        <f t="shared" si="21"/>
        <v>0</v>
      </c>
      <c r="AY10" s="311">
        <f t="shared" si="51"/>
        <v>0</v>
      </c>
      <c r="AZ10" s="311">
        <f t="shared" si="22"/>
        <v>0</v>
      </c>
      <c r="BA10" s="311">
        <f t="shared" si="52"/>
        <v>0</v>
      </c>
      <c r="BB10" s="311">
        <f t="shared" si="23"/>
        <v>0</v>
      </c>
      <c r="BC10" s="311">
        <f t="shared" si="53"/>
        <v>0</v>
      </c>
      <c r="BD10" s="311">
        <f t="shared" si="24"/>
        <v>0</v>
      </c>
      <c r="BE10" s="311">
        <f t="shared" si="54"/>
        <v>0</v>
      </c>
      <c r="BF10" s="311">
        <f t="shared" si="25"/>
        <v>0</v>
      </c>
      <c r="BG10" s="311">
        <f t="shared" si="55"/>
        <v>0</v>
      </c>
      <c r="BH10" s="311">
        <f t="shared" si="26"/>
        <v>0</v>
      </c>
      <c r="BI10" s="311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11">
        <f t="shared" si="28"/>
        <v>0</v>
      </c>
      <c r="G11" s="311">
        <f t="shared" si="29"/>
        <v>0</v>
      </c>
      <c r="H11" s="311">
        <f t="shared" si="0"/>
        <v>0</v>
      </c>
      <c r="I11" s="311">
        <f t="shared" si="30"/>
        <v>0</v>
      </c>
      <c r="J11" s="311">
        <f t="shared" si="1"/>
        <v>0</v>
      </c>
      <c r="K11" s="311">
        <f t="shared" si="31"/>
        <v>0</v>
      </c>
      <c r="L11" s="311">
        <f t="shared" si="2"/>
        <v>0</v>
      </c>
      <c r="M11" s="311">
        <f t="shared" si="32"/>
        <v>0</v>
      </c>
      <c r="N11" s="311">
        <f t="shared" si="3"/>
        <v>0</v>
      </c>
      <c r="O11" s="311">
        <f t="shared" si="33"/>
        <v>0</v>
      </c>
      <c r="P11" s="311">
        <f t="shared" si="4"/>
        <v>0</v>
      </c>
      <c r="Q11" s="311">
        <f t="shared" si="34"/>
        <v>0</v>
      </c>
      <c r="R11" s="311">
        <f t="shared" si="5"/>
        <v>0</v>
      </c>
      <c r="S11" s="311">
        <f t="shared" si="35"/>
        <v>0</v>
      </c>
      <c r="T11" s="311">
        <f t="shared" si="6"/>
        <v>0</v>
      </c>
      <c r="U11" s="311">
        <f t="shared" si="36"/>
        <v>0</v>
      </c>
      <c r="V11" s="311">
        <f t="shared" si="7"/>
        <v>0</v>
      </c>
      <c r="W11" s="311">
        <f t="shared" si="37"/>
        <v>0</v>
      </c>
      <c r="X11" s="311">
        <f t="shared" si="8"/>
        <v>0</v>
      </c>
      <c r="Y11" s="311">
        <f t="shared" si="38"/>
        <v>0</v>
      </c>
      <c r="Z11" s="311">
        <f t="shared" si="9"/>
        <v>0</v>
      </c>
      <c r="AA11" s="311">
        <f t="shared" si="39"/>
        <v>0</v>
      </c>
      <c r="AB11" s="311">
        <f t="shared" si="10"/>
        <v>1</v>
      </c>
      <c r="AC11" s="311">
        <f t="shared" si="40"/>
        <v>1</v>
      </c>
      <c r="AD11" s="311">
        <f t="shared" si="11"/>
        <v>0</v>
      </c>
      <c r="AE11" s="311">
        <f t="shared" si="41"/>
        <v>0</v>
      </c>
      <c r="AF11" s="311">
        <f t="shared" si="12"/>
        <v>0</v>
      </c>
      <c r="AG11" s="311">
        <f t="shared" si="42"/>
        <v>0</v>
      </c>
      <c r="AH11" s="311">
        <f t="shared" si="13"/>
        <v>0</v>
      </c>
      <c r="AI11" s="311">
        <f t="shared" si="43"/>
        <v>0</v>
      </c>
      <c r="AJ11" s="311">
        <f t="shared" si="14"/>
        <v>0</v>
      </c>
      <c r="AK11" s="311">
        <f t="shared" si="44"/>
        <v>0</v>
      </c>
      <c r="AL11" s="311">
        <f t="shared" si="15"/>
        <v>0</v>
      </c>
      <c r="AM11" s="311">
        <f t="shared" si="45"/>
        <v>0</v>
      </c>
      <c r="AN11" s="311">
        <f t="shared" si="16"/>
        <v>1</v>
      </c>
      <c r="AO11" s="311">
        <f t="shared" si="46"/>
        <v>1</v>
      </c>
      <c r="AP11" s="311">
        <f t="shared" si="17"/>
        <v>0</v>
      </c>
      <c r="AQ11" s="311">
        <f t="shared" si="47"/>
        <v>0</v>
      </c>
      <c r="AR11" s="311">
        <f t="shared" si="18"/>
        <v>0</v>
      </c>
      <c r="AS11" s="311">
        <f t="shared" si="48"/>
        <v>0</v>
      </c>
      <c r="AT11" s="311">
        <f t="shared" si="19"/>
        <v>0</v>
      </c>
      <c r="AU11" s="311">
        <f t="shared" si="49"/>
        <v>0</v>
      </c>
      <c r="AV11" s="311">
        <f t="shared" si="20"/>
        <v>0</v>
      </c>
      <c r="AW11" s="311">
        <f t="shared" si="50"/>
        <v>0</v>
      </c>
      <c r="AX11" s="311">
        <f t="shared" si="21"/>
        <v>0</v>
      </c>
      <c r="AY11" s="311">
        <f t="shared" si="51"/>
        <v>0</v>
      </c>
      <c r="AZ11" s="311">
        <f t="shared" si="22"/>
        <v>0</v>
      </c>
      <c r="BA11" s="311">
        <f t="shared" si="52"/>
        <v>0</v>
      </c>
      <c r="BB11" s="311">
        <f t="shared" si="23"/>
        <v>0</v>
      </c>
      <c r="BC11" s="311">
        <f t="shared" si="53"/>
        <v>0</v>
      </c>
      <c r="BD11" s="311">
        <f t="shared" si="24"/>
        <v>0</v>
      </c>
      <c r="BE11" s="311">
        <f t="shared" si="54"/>
        <v>0</v>
      </c>
      <c r="BF11" s="311">
        <f t="shared" si="25"/>
        <v>0</v>
      </c>
      <c r="BG11" s="311">
        <f t="shared" si="55"/>
        <v>0</v>
      </c>
      <c r="BH11" s="311">
        <f t="shared" si="26"/>
        <v>0</v>
      </c>
      <c r="BI11" s="311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1020</v>
      </c>
      <c r="D12" s="51">
        <f t="shared" si="59"/>
        <v>964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5</v>
      </c>
      <c r="AI12" s="38">
        <f t="shared" si="43"/>
        <v>5</v>
      </c>
      <c r="AJ12" s="38">
        <f t="shared" si="14"/>
        <v>5</v>
      </c>
      <c r="AK12" s="38">
        <f t="shared" si="44"/>
        <v>5</v>
      </c>
      <c r="AL12" s="38">
        <f t="shared" si="15"/>
        <v>404</v>
      </c>
      <c r="AM12" s="38">
        <f t="shared" si="45"/>
        <v>376</v>
      </c>
      <c r="AN12" s="38">
        <f t="shared" si="16"/>
        <v>510</v>
      </c>
      <c r="AO12" s="38">
        <f t="shared" si="46"/>
        <v>482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66" t="s">
        <v>75</v>
      </c>
      <c r="B16" s="49" t="s">
        <v>2282</v>
      </c>
      <c r="C16" s="49"/>
      <c r="D16" s="45"/>
      <c r="E16" s="45"/>
      <c r="F16" s="38" t="s">
        <v>2284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1" customFormat="1">
      <c r="A17" s="366" t="s">
        <v>2281</v>
      </c>
      <c r="B17" s="372" t="s">
        <v>2142</v>
      </c>
      <c r="C17" s="372" t="s">
        <v>81</v>
      </c>
      <c r="D17" s="372" t="s">
        <v>2143</v>
      </c>
      <c r="E17" s="372" t="s">
        <v>2283</v>
      </c>
      <c r="F17" s="373">
        <v>44400</v>
      </c>
      <c r="G17" s="373"/>
      <c r="H17" s="373">
        <v>44407</v>
      </c>
      <c r="I17" s="373"/>
      <c r="J17" s="373">
        <v>44414</v>
      </c>
      <c r="K17" s="373"/>
      <c r="L17" s="373">
        <v>44421</v>
      </c>
      <c r="M17" s="373"/>
      <c r="N17" s="373">
        <v>44428</v>
      </c>
      <c r="O17" s="373"/>
      <c r="P17" s="373">
        <v>44435</v>
      </c>
      <c r="Q17" s="373"/>
    </row>
    <row r="18" spans="1:17">
      <c r="A18" s="45" t="s">
        <v>30</v>
      </c>
      <c r="B18" s="45"/>
      <c r="C18" s="45"/>
      <c r="D18" s="45"/>
      <c r="E18" s="45"/>
      <c r="F18" s="38" t="s">
        <v>2142</v>
      </c>
      <c r="G18" s="38" t="s">
        <v>2143</v>
      </c>
      <c r="H18" s="38" t="s">
        <v>2142</v>
      </c>
      <c r="I18" s="38" t="s">
        <v>2143</v>
      </c>
      <c r="J18" s="38" t="s">
        <v>2142</v>
      </c>
      <c r="K18" s="38" t="s">
        <v>2143</v>
      </c>
      <c r="L18" s="38" t="s">
        <v>2142</v>
      </c>
      <c r="M18" s="38" t="s">
        <v>2143</v>
      </c>
      <c r="N18" s="38" t="s">
        <v>2142</v>
      </c>
      <c r="O18" s="38" t="s">
        <v>2143</v>
      </c>
      <c r="P18" s="38" t="s">
        <v>2142</v>
      </c>
      <c r="Q18" s="38" t="s">
        <v>2143</v>
      </c>
    </row>
    <row r="19" spans="1:17">
      <c r="A19" s="51" t="s">
        <v>101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11">
        <v>9</v>
      </c>
      <c r="G19" s="311">
        <v>8</v>
      </c>
      <c r="H19" s="311">
        <v>6</v>
      </c>
      <c r="I19" s="311">
        <v>4</v>
      </c>
    </row>
    <row r="20" spans="1:17">
      <c r="A20" s="51" t="s">
        <v>102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11">
        <v>43</v>
      </c>
      <c r="I20" s="311">
        <v>17</v>
      </c>
      <c r="J20" s="311">
        <v>26</v>
      </c>
    </row>
    <row r="21" spans="1:17">
      <c r="A21" s="51" t="s">
        <v>103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11">
        <v>39</v>
      </c>
    </row>
    <row r="22" spans="1:17">
      <c r="A22" s="51" t="s">
        <v>104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11">
        <v>6</v>
      </c>
      <c r="L22" s="311">
        <v>59</v>
      </c>
    </row>
    <row r="23" spans="1:17">
      <c r="A23" s="51" t="s">
        <v>105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11">
        <v>30</v>
      </c>
      <c r="G23" s="311">
        <v>10</v>
      </c>
      <c r="N23" s="311">
        <v>52</v>
      </c>
    </row>
    <row r="24" spans="1:17">
      <c r="A24" s="51" t="s">
        <v>106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11">
        <v>14</v>
      </c>
      <c r="G24" s="311">
        <v>12</v>
      </c>
      <c r="J24" s="311">
        <v>1</v>
      </c>
      <c r="N24" s="311">
        <v>14</v>
      </c>
      <c r="P24" s="311">
        <v>53</v>
      </c>
    </row>
    <row r="25" spans="1:17">
      <c r="A25" s="51" t="s">
        <v>107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11">
        <v>15</v>
      </c>
    </row>
    <row r="26" spans="1:17">
      <c r="A26" s="51" t="s">
        <v>108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11">
        <v>1</v>
      </c>
    </row>
    <row r="27" spans="1:17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399" t="s">
        <v>2284</v>
      </c>
    </row>
    <row r="40" spans="1:37" ht="15.75" customHeight="1">
      <c r="B40" s="311" t="s">
        <v>2285</v>
      </c>
      <c r="D40" s="311" t="s">
        <v>2286</v>
      </c>
      <c r="F40" s="311" t="s">
        <v>2287</v>
      </c>
      <c r="H40" s="311" t="s">
        <v>2288</v>
      </c>
      <c r="J40" s="311" t="s">
        <v>2289</v>
      </c>
      <c r="L40" s="311" t="s">
        <v>2290</v>
      </c>
      <c r="N40" s="311" t="s">
        <v>2291</v>
      </c>
      <c r="P40" s="311" t="s">
        <v>2292</v>
      </c>
      <c r="R40" s="311" t="s">
        <v>2293</v>
      </c>
      <c r="T40" s="311" t="s">
        <v>2294</v>
      </c>
      <c r="V40" s="311" t="s">
        <v>2295</v>
      </c>
      <c r="X40" s="311" t="s">
        <v>2296</v>
      </c>
      <c r="Z40" s="311" t="s">
        <v>2297</v>
      </c>
      <c r="AB40" s="311" t="s">
        <v>2298</v>
      </c>
      <c r="AD40" s="311" t="s">
        <v>2299</v>
      </c>
      <c r="AF40" s="311" t="s">
        <v>2300</v>
      </c>
      <c r="AH40" s="311" t="s">
        <v>2301</v>
      </c>
      <c r="AJ40" s="311" t="s">
        <v>2137</v>
      </c>
      <c r="AK40" s="311" t="s">
        <v>2138</v>
      </c>
    </row>
    <row r="41" spans="1:37" ht="15.75" customHeight="1">
      <c r="A41" s="301" t="s">
        <v>30</v>
      </c>
      <c r="B41" s="311" t="s">
        <v>2142</v>
      </c>
      <c r="C41" s="311" t="s">
        <v>2143</v>
      </c>
      <c r="D41" s="311" t="s">
        <v>2142</v>
      </c>
      <c r="E41" s="311" t="s">
        <v>2143</v>
      </c>
      <c r="F41" s="311" t="s">
        <v>2142</v>
      </c>
      <c r="G41" s="311" t="s">
        <v>2143</v>
      </c>
      <c r="H41" s="311" t="s">
        <v>2142</v>
      </c>
      <c r="I41" s="311" t="s">
        <v>2143</v>
      </c>
      <c r="J41" s="311" t="s">
        <v>2142</v>
      </c>
      <c r="K41" s="311" t="s">
        <v>2143</v>
      </c>
      <c r="L41" s="311" t="s">
        <v>2142</v>
      </c>
      <c r="M41" s="311" t="s">
        <v>2143</v>
      </c>
      <c r="N41" s="311" t="s">
        <v>2142</v>
      </c>
      <c r="O41" s="311" t="s">
        <v>2143</v>
      </c>
      <c r="P41" s="311" t="s">
        <v>2142</v>
      </c>
      <c r="Q41" s="311" t="s">
        <v>2143</v>
      </c>
      <c r="R41" s="311" t="s">
        <v>2142</v>
      </c>
      <c r="S41" s="311" t="s">
        <v>2143</v>
      </c>
      <c r="T41" s="311" t="s">
        <v>2142</v>
      </c>
      <c r="U41" s="311" t="s">
        <v>2143</v>
      </c>
      <c r="V41" s="311" t="s">
        <v>2142</v>
      </c>
      <c r="W41" s="311" t="s">
        <v>2143</v>
      </c>
      <c r="X41" s="311" t="s">
        <v>2142</v>
      </c>
      <c r="Y41" s="311" t="s">
        <v>2143</v>
      </c>
      <c r="Z41" s="311" t="s">
        <v>2142</v>
      </c>
      <c r="AA41" s="311" t="s">
        <v>2143</v>
      </c>
      <c r="AB41" s="311" t="s">
        <v>2142</v>
      </c>
      <c r="AC41" s="311" t="s">
        <v>2143</v>
      </c>
      <c r="AD41" s="311" t="s">
        <v>2142</v>
      </c>
      <c r="AE41" s="311" t="s">
        <v>2143</v>
      </c>
      <c r="AF41" s="311" t="s">
        <v>2142</v>
      </c>
      <c r="AG41" s="311" t="s">
        <v>2143</v>
      </c>
      <c r="AH41" s="311" t="s">
        <v>2142</v>
      </c>
      <c r="AI41" s="311" t="s">
        <v>2143</v>
      </c>
    </row>
    <row r="42" spans="1:37" ht="15.75" customHeight="1">
      <c r="A42" s="2" t="s">
        <v>101</v>
      </c>
      <c r="B42" s="398"/>
      <c r="C42" s="398"/>
      <c r="D42" s="398"/>
      <c r="E42" s="398"/>
      <c r="F42" s="398"/>
      <c r="G42" s="398"/>
      <c r="H42" s="398">
        <v>9</v>
      </c>
      <c r="I42" s="398">
        <v>9</v>
      </c>
      <c r="J42" s="398">
        <v>4</v>
      </c>
      <c r="K42" s="398">
        <v>4</v>
      </c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>
        <v>3</v>
      </c>
      <c r="AI42" s="398">
        <v>3</v>
      </c>
      <c r="AJ42" s="398">
        <v>16</v>
      </c>
      <c r="AK42" s="398">
        <v>16</v>
      </c>
    </row>
    <row r="43" spans="1:37" ht="15.75" customHeight="1">
      <c r="A43" s="2" t="s">
        <v>102</v>
      </c>
      <c r="B43" s="398"/>
      <c r="C43" s="398"/>
      <c r="D43" s="398"/>
      <c r="E43" s="398"/>
      <c r="F43" s="398"/>
      <c r="G43" s="398"/>
      <c r="H43" s="398"/>
      <c r="I43" s="398"/>
      <c r="J43" s="398">
        <v>5</v>
      </c>
      <c r="K43" s="398">
        <v>5</v>
      </c>
      <c r="L43" s="398">
        <v>12</v>
      </c>
      <c r="M43" s="398">
        <v>12</v>
      </c>
      <c r="N43" s="398">
        <v>9</v>
      </c>
      <c r="O43" s="398">
        <v>9</v>
      </c>
      <c r="P43" s="398">
        <v>6</v>
      </c>
      <c r="Q43" s="398">
        <v>6</v>
      </c>
      <c r="R43" s="398">
        <v>4</v>
      </c>
      <c r="S43" s="398">
        <v>4</v>
      </c>
      <c r="T43" s="398">
        <v>4</v>
      </c>
      <c r="U43" s="398">
        <v>4</v>
      </c>
      <c r="V43" s="398">
        <v>4</v>
      </c>
      <c r="W43" s="398">
        <v>4</v>
      </c>
      <c r="X43" s="398"/>
      <c r="Y43" s="398"/>
      <c r="Z43" s="398"/>
      <c r="AA43" s="398"/>
      <c r="AB43" s="398"/>
      <c r="AC43" s="398"/>
      <c r="AD43" s="398">
        <v>4</v>
      </c>
      <c r="AE43" s="398">
        <v>4</v>
      </c>
      <c r="AF43" s="398"/>
      <c r="AG43" s="398"/>
      <c r="AH43" s="398">
        <v>32</v>
      </c>
      <c r="AI43" s="398">
        <v>32</v>
      </c>
      <c r="AJ43" s="398">
        <v>80</v>
      </c>
      <c r="AK43" s="398">
        <v>80</v>
      </c>
    </row>
    <row r="44" spans="1:37" ht="15.75" customHeight="1">
      <c r="A44" s="2" t="s">
        <v>103</v>
      </c>
      <c r="B44" s="398"/>
      <c r="C44" s="398"/>
      <c r="D44" s="398"/>
      <c r="E44" s="398"/>
      <c r="F44" s="398"/>
      <c r="G44" s="398"/>
      <c r="H44" s="398"/>
      <c r="I44" s="398"/>
      <c r="J44" s="398"/>
      <c r="K44" s="398"/>
      <c r="L44" s="398"/>
      <c r="M44" s="398"/>
      <c r="N44" s="398"/>
      <c r="O44" s="398"/>
      <c r="P44" s="398"/>
      <c r="Q44" s="398"/>
      <c r="R44" s="398"/>
      <c r="S44" s="398"/>
      <c r="T44" s="398"/>
      <c r="U44" s="398"/>
      <c r="V44" s="398"/>
      <c r="W44" s="398"/>
      <c r="X44" s="398">
        <v>1</v>
      </c>
      <c r="Y44" s="398">
        <v>1</v>
      </c>
      <c r="Z44" s="398">
        <v>3</v>
      </c>
      <c r="AA44" s="398">
        <v>3</v>
      </c>
      <c r="AB44" s="398">
        <v>3</v>
      </c>
      <c r="AC44" s="398">
        <v>3</v>
      </c>
      <c r="AD44" s="398">
        <v>1</v>
      </c>
      <c r="AE44" s="398">
        <v>1</v>
      </c>
      <c r="AF44" s="398">
        <v>5</v>
      </c>
      <c r="AG44" s="398">
        <v>5</v>
      </c>
      <c r="AH44" s="398">
        <v>23</v>
      </c>
      <c r="AI44" s="398">
        <v>23</v>
      </c>
      <c r="AJ44" s="398">
        <v>36</v>
      </c>
      <c r="AK44" s="398">
        <v>36</v>
      </c>
    </row>
    <row r="45" spans="1:37" ht="15.75" customHeight="1">
      <c r="A45" s="2" t="s">
        <v>104</v>
      </c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>
        <v>3</v>
      </c>
      <c r="Y45" s="398">
        <v>3</v>
      </c>
      <c r="Z45" s="398"/>
      <c r="AA45" s="398"/>
      <c r="AB45" s="398"/>
      <c r="AC45" s="398"/>
      <c r="AD45" s="398"/>
      <c r="AE45" s="398"/>
      <c r="AF45" s="398"/>
      <c r="AG45" s="398"/>
      <c r="AH45" s="398">
        <v>68</v>
      </c>
      <c r="AI45" s="398">
        <v>68</v>
      </c>
      <c r="AJ45" s="398">
        <v>71</v>
      </c>
      <c r="AK45" s="398">
        <v>71</v>
      </c>
    </row>
    <row r="46" spans="1:37" ht="15.75" customHeight="1">
      <c r="A46" s="2" t="s">
        <v>105</v>
      </c>
      <c r="B46" s="398">
        <v>5</v>
      </c>
      <c r="C46" s="398">
        <v>5</v>
      </c>
      <c r="D46" s="398">
        <v>5</v>
      </c>
      <c r="E46" s="398">
        <v>5</v>
      </c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>
        <v>78</v>
      </c>
      <c r="AI46" s="398">
        <v>72</v>
      </c>
      <c r="AJ46" s="398">
        <v>88</v>
      </c>
      <c r="AK46" s="398">
        <v>82</v>
      </c>
    </row>
    <row r="47" spans="1:37" ht="15.75" customHeight="1">
      <c r="A47" s="2" t="s">
        <v>106</v>
      </c>
      <c r="B47" s="398">
        <v>2</v>
      </c>
      <c r="C47" s="398">
        <v>2</v>
      </c>
      <c r="D47" s="398">
        <v>11</v>
      </c>
      <c r="E47" s="398">
        <v>11</v>
      </c>
      <c r="F47" s="398">
        <v>4</v>
      </c>
      <c r="G47" s="398">
        <v>4</v>
      </c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  <c r="Z47" s="398">
        <v>1</v>
      </c>
      <c r="AA47" s="398">
        <v>1</v>
      </c>
      <c r="AB47" s="398"/>
      <c r="AC47" s="398"/>
      <c r="AD47" s="398"/>
      <c r="AE47" s="398"/>
      <c r="AF47" s="398"/>
      <c r="AG47" s="398"/>
      <c r="AH47" s="398">
        <v>69</v>
      </c>
      <c r="AI47" s="398">
        <v>55</v>
      </c>
      <c r="AJ47" s="398">
        <v>87</v>
      </c>
      <c r="AK47" s="398">
        <v>73</v>
      </c>
    </row>
    <row r="48" spans="1:37" ht="15.75" customHeight="1">
      <c r="A48" s="2" t="s">
        <v>107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>
        <v>131</v>
      </c>
      <c r="AI48" s="398">
        <v>123</v>
      </c>
      <c r="AJ48" s="398">
        <v>131</v>
      </c>
      <c r="AK48" s="398">
        <v>123</v>
      </c>
    </row>
    <row r="49" spans="1:37" ht="15.75" customHeight="1">
      <c r="A49" s="2" t="s">
        <v>108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>
        <v>1</v>
      </c>
      <c r="Y49" s="398">
        <v>1</v>
      </c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>
        <v>1</v>
      </c>
      <c r="AK49" s="398">
        <v>1</v>
      </c>
    </row>
    <row r="50" spans="1:37" ht="15.75" customHeight="1">
      <c r="A50" s="2" t="s">
        <v>67</v>
      </c>
      <c r="B50" s="398">
        <v>7</v>
      </c>
      <c r="C50" s="398">
        <v>7</v>
      </c>
      <c r="D50" s="398">
        <v>16</v>
      </c>
      <c r="E50" s="398">
        <v>16</v>
      </c>
      <c r="F50" s="398">
        <v>4</v>
      </c>
      <c r="G50" s="398">
        <v>4</v>
      </c>
      <c r="H50" s="398">
        <v>9</v>
      </c>
      <c r="I50" s="398">
        <v>9</v>
      </c>
      <c r="J50" s="398">
        <v>9</v>
      </c>
      <c r="K50" s="398">
        <v>9</v>
      </c>
      <c r="L50" s="398">
        <v>12</v>
      </c>
      <c r="M50" s="398">
        <v>12</v>
      </c>
      <c r="N50" s="398">
        <v>9</v>
      </c>
      <c r="O50" s="398">
        <v>9</v>
      </c>
      <c r="P50" s="398">
        <v>6</v>
      </c>
      <c r="Q50" s="398">
        <v>6</v>
      </c>
      <c r="R50" s="398">
        <v>4</v>
      </c>
      <c r="S50" s="398">
        <v>4</v>
      </c>
      <c r="T50" s="398">
        <v>4</v>
      </c>
      <c r="U50" s="398">
        <v>4</v>
      </c>
      <c r="V50" s="398">
        <v>4</v>
      </c>
      <c r="W50" s="398">
        <v>4</v>
      </c>
      <c r="X50" s="398">
        <v>5</v>
      </c>
      <c r="Y50" s="398">
        <v>5</v>
      </c>
      <c r="Z50" s="398">
        <v>4</v>
      </c>
      <c r="AA50" s="398">
        <v>4</v>
      </c>
      <c r="AB50" s="398">
        <v>3</v>
      </c>
      <c r="AC50" s="398">
        <v>3</v>
      </c>
      <c r="AD50" s="398">
        <v>5</v>
      </c>
      <c r="AE50" s="398">
        <v>5</v>
      </c>
      <c r="AF50" s="398">
        <v>5</v>
      </c>
      <c r="AG50" s="398">
        <v>5</v>
      </c>
      <c r="AH50" s="398">
        <v>404</v>
      </c>
      <c r="AI50" s="398">
        <v>376</v>
      </c>
      <c r="AJ50" s="398">
        <v>510</v>
      </c>
      <c r="AK50" s="398">
        <v>482</v>
      </c>
    </row>
    <row r="51" spans="1:37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311" bestFit="1" customWidth="1"/>
    <col min="2" max="2" width="10.5" style="311" bestFit="1" customWidth="1"/>
    <col min="3" max="3" width="10" style="311" bestFit="1" customWidth="1"/>
    <col min="4" max="4" width="9.5" style="311" bestFit="1" customWidth="1"/>
    <col min="5" max="5" width="9.875" style="311" bestFit="1" customWidth="1"/>
    <col min="6" max="6" width="9.75" style="311" bestFit="1" customWidth="1"/>
    <col min="7" max="7" width="10" style="311" bestFit="1" customWidth="1"/>
    <col min="8" max="8" width="9.75" style="311" bestFit="1" customWidth="1"/>
    <col min="9" max="10" width="10" style="311" bestFit="1" customWidth="1"/>
    <col min="11" max="11" width="10.125" style="311" bestFit="1" customWidth="1"/>
    <col min="12" max="12" width="9.125" style="311" bestFit="1" customWidth="1"/>
    <col min="13" max="13" width="10.25" style="311" bestFit="1" customWidth="1"/>
    <col min="14" max="14" width="11" style="311" bestFit="1" customWidth="1"/>
    <col min="15" max="15" width="10.75" style="311" bestFit="1" customWidth="1"/>
    <col min="16" max="16" width="5.75" style="311" bestFit="1" customWidth="1"/>
    <col min="17" max="19" width="8.75" style="311" customWidth="1"/>
    <col min="20" max="16384" width="8.75" style="311"/>
  </cols>
  <sheetData>
    <row r="3" spans="1:16">
      <c r="A3" s="301" t="s">
        <v>2302</v>
      </c>
      <c r="B3" s="301" t="s">
        <v>92</v>
      </c>
    </row>
    <row r="4" spans="1:16">
      <c r="A4" s="301" t="s">
        <v>2303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311" t="s">
        <v>67</v>
      </c>
    </row>
    <row r="5" spans="1:16">
      <c r="A5" s="2" t="s">
        <v>145</v>
      </c>
      <c r="B5" s="398"/>
      <c r="C5" s="398"/>
      <c r="D5" s="398"/>
      <c r="E5" s="398">
        <v>1</v>
      </c>
      <c r="F5" s="398"/>
      <c r="G5" s="398"/>
      <c r="H5" s="398"/>
      <c r="I5" s="398"/>
      <c r="J5" s="398"/>
      <c r="K5" s="398"/>
      <c r="L5" s="398"/>
      <c r="M5" s="398">
        <v>1</v>
      </c>
      <c r="N5" s="398"/>
      <c r="O5" s="398"/>
      <c r="P5" s="398">
        <v>2</v>
      </c>
    </row>
    <row r="6" spans="1:16">
      <c r="A6" s="2" t="s">
        <v>150</v>
      </c>
      <c r="B6" s="398"/>
      <c r="C6" s="398"/>
      <c r="D6" s="398"/>
      <c r="E6" s="398">
        <v>13</v>
      </c>
      <c r="F6" s="398"/>
      <c r="G6" s="398">
        <v>4</v>
      </c>
      <c r="H6" s="398"/>
      <c r="I6" s="398"/>
      <c r="J6" s="398"/>
      <c r="K6" s="398"/>
      <c r="L6" s="398"/>
      <c r="M6" s="398"/>
      <c r="N6" s="398"/>
      <c r="O6" s="398"/>
      <c r="P6" s="398">
        <v>17</v>
      </c>
    </row>
    <row r="7" spans="1:16">
      <c r="A7" s="2" t="s">
        <v>157</v>
      </c>
      <c r="B7" s="398"/>
      <c r="C7" s="398"/>
      <c r="D7" s="398"/>
      <c r="E7" s="398">
        <v>10</v>
      </c>
      <c r="F7" s="398"/>
      <c r="G7" s="398"/>
      <c r="H7" s="398"/>
      <c r="I7" s="398"/>
      <c r="J7" s="398"/>
      <c r="K7" s="398"/>
      <c r="L7" s="398"/>
      <c r="M7" s="398"/>
      <c r="N7" s="398"/>
      <c r="O7" s="398"/>
      <c r="P7" s="398">
        <v>10</v>
      </c>
    </row>
    <row r="8" spans="1:16">
      <c r="A8" s="2" t="s">
        <v>172</v>
      </c>
      <c r="B8" s="398"/>
      <c r="C8" s="398"/>
      <c r="D8" s="398"/>
      <c r="E8" s="398">
        <v>2</v>
      </c>
      <c r="F8" s="398"/>
      <c r="G8" s="398"/>
      <c r="H8" s="398"/>
      <c r="I8" s="398"/>
      <c r="J8" s="398"/>
      <c r="K8" s="398"/>
      <c r="L8" s="398"/>
      <c r="M8" s="398"/>
      <c r="N8" s="398"/>
      <c r="O8" s="398"/>
      <c r="P8" s="398">
        <v>2</v>
      </c>
    </row>
    <row r="9" spans="1:16">
      <c r="A9" s="2" t="s">
        <v>183</v>
      </c>
      <c r="B9" s="398"/>
      <c r="C9" s="398"/>
      <c r="D9" s="398"/>
      <c r="E9" s="398"/>
      <c r="F9" s="398">
        <v>2</v>
      </c>
      <c r="G9" s="398"/>
      <c r="H9" s="398"/>
      <c r="I9" s="398"/>
      <c r="J9" s="398"/>
      <c r="K9" s="398"/>
      <c r="L9" s="398"/>
      <c r="M9" s="398"/>
      <c r="N9" s="398"/>
      <c r="O9" s="398"/>
      <c r="P9" s="398">
        <v>2</v>
      </c>
    </row>
    <row r="10" spans="1:16">
      <c r="A10" s="2" t="s">
        <v>178</v>
      </c>
      <c r="B10" s="398"/>
      <c r="C10" s="398"/>
      <c r="D10" s="398"/>
      <c r="E10" s="398"/>
      <c r="F10" s="398">
        <v>2</v>
      </c>
      <c r="G10" s="398"/>
      <c r="H10" s="398"/>
      <c r="I10" s="398"/>
      <c r="J10" s="398"/>
      <c r="K10" s="398"/>
      <c r="L10" s="398"/>
      <c r="M10" s="398"/>
      <c r="N10" s="398"/>
      <c r="O10" s="398"/>
      <c r="P10" s="398">
        <v>2</v>
      </c>
    </row>
    <row r="11" spans="1:16">
      <c r="A11" s="2" t="s">
        <v>174</v>
      </c>
      <c r="B11" s="398"/>
      <c r="C11" s="398"/>
      <c r="D11" s="398"/>
      <c r="E11" s="398"/>
      <c r="F11" s="398">
        <v>2</v>
      </c>
      <c r="G11" s="398"/>
      <c r="H11" s="398"/>
      <c r="I11" s="398"/>
      <c r="J11" s="398"/>
      <c r="K11" s="398"/>
      <c r="L11" s="398"/>
      <c r="M11" s="398"/>
      <c r="N11" s="398"/>
      <c r="O11" s="398"/>
      <c r="P11" s="398">
        <v>2</v>
      </c>
    </row>
    <row r="12" spans="1:16">
      <c r="A12" s="2" t="s">
        <v>299</v>
      </c>
      <c r="B12" s="398"/>
      <c r="C12" s="398"/>
      <c r="D12" s="398"/>
      <c r="E12" s="398">
        <v>1</v>
      </c>
      <c r="F12" s="398"/>
      <c r="G12" s="398"/>
      <c r="H12" s="398"/>
      <c r="I12" s="398"/>
      <c r="J12" s="398"/>
      <c r="K12" s="398"/>
      <c r="L12" s="398"/>
      <c r="M12" s="398"/>
      <c r="N12" s="398"/>
      <c r="O12" s="398">
        <v>1</v>
      </c>
      <c r="P12" s="398">
        <v>2</v>
      </c>
    </row>
    <row r="13" spans="1:16">
      <c r="A13" s="2" t="s">
        <v>342</v>
      </c>
      <c r="B13" s="398"/>
      <c r="C13" s="398"/>
      <c r="D13" s="398">
        <v>1</v>
      </c>
      <c r="E13" s="398"/>
      <c r="F13" s="398"/>
      <c r="G13" s="398"/>
      <c r="H13" s="398">
        <v>1</v>
      </c>
      <c r="I13" s="398"/>
      <c r="J13" s="398"/>
      <c r="K13" s="398">
        <v>4</v>
      </c>
      <c r="L13" s="398"/>
      <c r="M13" s="398"/>
      <c r="N13" s="398"/>
      <c r="O13" s="398"/>
      <c r="P13" s="398">
        <v>6</v>
      </c>
    </row>
    <row r="14" spans="1:16">
      <c r="A14" s="2" t="s">
        <v>1028</v>
      </c>
      <c r="B14" s="398">
        <v>1</v>
      </c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>
        <v>1</v>
      </c>
    </row>
    <row r="15" spans="1:16">
      <c r="A15" s="2" t="s">
        <v>1040</v>
      </c>
      <c r="B15" s="398"/>
      <c r="C15" s="398">
        <v>3</v>
      </c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>
        <v>3</v>
      </c>
    </row>
    <row r="16" spans="1:16">
      <c r="A16" s="2" t="s">
        <v>1032</v>
      </c>
      <c r="B16" s="398"/>
      <c r="C16" s="398">
        <v>1</v>
      </c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>
        <v>1</v>
      </c>
    </row>
    <row r="17" spans="1:16">
      <c r="A17" s="2" t="s">
        <v>1030</v>
      </c>
      <c r="B17" s="398">
        <v>4</v>
      </c>
      <c r="C17" s="398"/>
      <c r="D17" s="398"/>
      <c r="E17" s="398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>
        <v>4</v>
      </c>
    </row>
    <row r="18" spans="1:16">
      <c r="A18" s="2" t="s">
        <v>1026</v>
      </c>
      <c r="B18" s="398">
        <v>2</v>
      </c>
      <c r="C18" s="398"/>
      <c r="D18" s="398"/>
      <c r="E18" s="398"/>
      <c r="F18" s="398"/>
      <c r="G18" s="398"/>
      <c r="H18" s="398"/>
      <c r="I18" s="398"/>
      <c r="J18" s="398"/>
      <c r="K18" s="398"/>
      <c r="L18" s="398"/>
      <c r="M18" s="398"/>
      <c r="N18" s="398"/>
      <c r="O18" s="398"/>
      <c r="P18" s="398">
        <v>2</v>
      </c>
    </row>
    <row r="19" spans="1:16">
      <c r="A19" s="2" t="s">
        <v>1038</v>
      </c>
      <c r="B19" s="398">
        <v>4</v>
      </c>
      <c r="C19" s="398"/>
      <c r="D19" s="398"/>
      <c r="E19" s="398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>
        <v>4</v>
      </c>
    </row>
    <row r="20" spans="1:16">
      <c r="A20" s="2" t="s">
        <v>1034</v>
      </c>
      <c r="B20" s="398"/>
      <c r="C20" s="398">
        <v>1</v>
      </c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8"/>
      <c r="P20" s="398">
        <v>1</v>
      </c>
    </row>
    <row r="21" spans="1:16">
      <c r="A21" s="2" t="s">
        <v>1044</v>
      </c>
      <c r="B21" s="398"/>
      <c r="C21" s="398">
        <v>1</v>
      </c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>
        <v>1</v>
      </c>
    </row>
    <row r="22" spans="1:16">
      <c r="A22" s="2" t="s">
        <v>1095</v>
      </c>
      <c r="B22" s="398"/>
      <c r="C22" s="398"/>
      <c r="D22" s="398">
        <v>2</v>
      </c>
      <c r="E22" s="398"/>
      <c r="F22" s="398"/>
      <c r="G22" s="398"/>
      <c r="H22" s="398"/>
      <c r="I22" s="398"/>
      <c r="J22" s="398"/>
      <c r="K22" s="398"/>
      <c r="L22" s="398"/>
      <c r="M22" s="398"/>
      <c r="N22" s="398"/>
      <c r="O22" s="398"/>
      <c r="P22" s="398">
        <v>2</v>
      </c>
    </row>
    <row r="23" spans="1:16">
      <c r="A23" s="2" t="s">
        <v>1415</v>
      </c>
      <c r="B23" s="398"/>
      <c r="C23" s="398"/>
      <c r="D23" s="398">
        <v>2</v>
      </c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>
        <v>2</v>
      </c>
    </row>
    <row r="24" spans="1:16">
      <c r="A24" s="2" t="s">
        <v>1418</v>
      </c>
      <c r="B24" s="398"/>
      <c r="C24" s="398"/>
      <c r="D24" s="398">
        <v>2</v>
      </c>
      <c r="E24" s="39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>
        <v>2</v>
      </c>
    </row>
    <row r="25" spans="1:16">
      <c r="A25" s="2" t="s">
        <v>1018</v>
      </c>
      <c r="B25" s="398">
        <v>3</v>
      </c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>
        <v>3</v>
      </c>
    </row>
    <row r="26" spans="1:16">
      <c r="A26" s="2" t="s">
        <v>1068</v>
      </c>
      <c r="B26" s="398"/>
      <c r="C26" s="398">
        <v>3</v>
      </c>
      <c r="D26" s="398"/>
      <c r="E26" s="398"/>
      <c r="F26" s="398"/>
      <c r="G26" s="398"/>
      <c r="H26" s="398"/>
      <c r="I26" s="398"/>
      <c r="J26" s="398"/>
      <c r="K26" s="398"/>
      <c r="L26" s="398"/>
      <c r="M26" s="398"/>
      <c r="N26" s="398"/>
      <c r="O26" s="398"/>
      <c r="P26" s="398">
        <v>3</v>
      </c>
    </row>
    <row r="27" spans="1:16">
      <c r="A27" s="2" t="s">
        <v>1062</v>
      </c>
      <c r="B27" s="398"/>
      <c r="C27" s="398">
        <v>3</v>
      </c>
      <c r="D27" s="398"/>
      <c r="E27" s="398"/>
      <c r="F27" s="398"/>
      <c r="G27" s="398"/>
      <c r="H27" s="398"/>
      <c r="I27" s="398"/>
      <c r="J27" s="398"/>
      <c r="K27" s="398"/>
      <c r="L27" s="398"/>
      <c r="M27" s="398"/>
      <c r="N27" s="398"/>
      <c r="O27" s="398"/>
      <c r="P27" s="398">
        <v>3</v>
      </c>
    </row>
    <row r="28" spans="1:16">
      <c r="A28" s="2" t="s">
        <v>1023</v>
      </c>
      <c r="B28" s="398">
        <v>1</v>
      </c>
      <c r="C28" s="398"/>
      <c r="D28" s="398"/>
      <c r="E28" s="398"/>
      <c r="F28" s="398"/>
      <c r="G28" s="398"/>
      <c r="H28" s="398"/>
      <c r="I28" s="398"/>
      <c r="J28" s="398"/>
      <c r="K28" s="398"/>
      <c r="L28" s="398"/>
      <c r="M28" s="398"/>
      <c r="N28" s="398"/>
      <c r="O28" s="398"/>
      <c r="P28" s="398">
        <v>1</v>
      </c>
    </row>
    <row r="29" spans="1:16">
      <c r="A29" s="2" t="s">
        <v>1056</v>
      </c>
      <c r="B29" s="398"/>
      <c r="C29" s="398"/>
      <c r="D29" s="398">
        <v>4</v>
      </c>
      <c r="E29" s="398"/>
      <c r="F29" s="398"/>
      <c r="G29" s="398"/>
      <c r="H29" s="398"/>
      <c r="I29" s="398"/>
      <c r="J29" s="398"/>
      <c r="K29" s="398"/>
      <c r="L29" s="398"/>
      <c r="M29" s="398"/>
      <c r="N29" s="398"/>
      <c r="O29" s="398"/>
      <c r="P29" s="398">
        <v>4</v>
      </c>
    </row>
    <row r="30" spans="1:16">
      <c r="A30" s="2" t="s">
        <v>1058</v>
      </c>
      <c r="B30" s="398"/>
      <c r="C30" s="398"/>
      <c r="D30" s="398">
        <v>1</v>
      </c>
      <c r="E30" s="398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398">
        <v>1</v>
      </c>
    </row>
    <row r="31" spans="1:16">
      <c r="A31" s="2" t="s">
        <v>1066</v>
      </c>
      <c r="B31" s="398"/>
      <c r="C31" s="398">
        <v>3</v>
      </c>
      <c r="D31" s="398"/>
      <c r="E31" s="398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398">
        <v>3</v>
      </c>
    </row>
    <row r="32" spans="1:16">
      <c r="A32" s="2" t="s">
        <v>1499</v>
      </c>
      <c r="B32" s="398"/>
      <c r="C32" s="398"/>
      <c r="D32" s="398">
        <v>1</v>
      </c>
      <c r="E32" s="398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>
        <v>1</v>
      </c>
    </row>
    <row r="33" spans="1:16">
      <c r="A33" s="2" t="s">
        <v>1503</v>
      </c>
      <c r="B33" s="398"/>
      <c r="C33" s="398"/>
      <c r="D33" s="398">
        <v>1</v>
      </c>
      <c r="E33" s="398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>
        <v>1</v>
      </c>
    </row>
    <row r="34" spans="1:16">
      <c r="A34" s="2" t="s">
        <v>154</v>
      </c>
      <c r="B34" s="398"/>
      <c r="C34" s="398"/>
      <c r="D34" s="398"/>
      <c r="E34" s="398"/>
      <c r="F34" s="398"/>
      <c r="G34" s="398">
        <v>11</v>
      </c>
      <c r="H34" s="398"/>
      <c r="I34" s="398"/>
      <c r="J34" s="398"/>
      <c r="K34" s="398"/>
      <c r="L34" s="398"/>
      <c r="M34" s="398"/>
      <c r="N34" s="398"/>
      <c r="O34" s="398"/>
      <c r="P34" s="398">
        <v>11</v>
      </c>
    </row>
    <row r="35" spans="1:16">
      <c r="A35" s="2" t="s">
        <v>161</v>
      </c>
      <c r="B35" s="398"/>
      <c r="C35" s="398"/>
      <c r="D35" s="398"/>
      <c r="E35" s="398"/>
      <c r="F35" s="398"/>
      <c r="G35" s="398">
        <v>7</v>
      </c>
      <c r="H35" s="398"/>
      <c r="I35" s="398"/>
      <c r="J35" s="398"/>
      <c r="K35" s="398"/>
      <c r="L35" s="398"/>
      <c r="M35" s="398"/>
      <c r="N35" s="398"/>
      <c r="O35" s="398"/>
      <c r="P35" s="398">
        <v>7</v>
      </c>
    </row>
    <row r="36" spans="1:16">
      <c r="A36" s="2" t="s">
        <v>1389</v>
      </c>
      <c r="B36" s="398"/>
      <c r="C36" s="398"/>
      <c r="D36" s="398"/>
      <c r="E36" s="398"/>
      <c r="F36" s="398"/>
      <c r="G36" s="398">
        <v>3</v>
      </c>
      <c r="H36" s="398"/>
      <c r="I36" s="398"/>
      <c r="J36" s="398"/>
      <c r="K36" s="398"/>
      <c r="L36" s="398"/>
      <c r="M36" s="398"/>
      <c r="N36" s="398"/>
      <c r="O36" s="398"/>
      <c r="P36" s="398">
        <v>3</v>
      </c>
    </row>
    <row r="37" spans="1:16">
      <c r="A37" s="2" t="s">
        <v>1555</v>
      </c>
      <c r="B37" s="398"/>
      <c r="C37" s="398"/>
      <c r="D37" s="398"/>
      <c r="E37" s="398"/>
      <c r="F37" s="398"/>
      <c r="G37" s="398">
        <v>5</v>
      </c>
      <c r="H37" s="398"/>
      <c r="I37" s="398"/>
      <c r="J37" s="398"/>
      <c r="K37" s="398"/>
      <c r="L37" s="398"/>
      <c r="M37" s="398"/>
      <c r="N37" s="398"/>
      <c r="O37" s="398"/>
      <c r="P37" s="398">
        <v>5</v>
      </c>
    </row>
    <row r="38" spans="1:16">
      <c r="A38" s="2" t="s">
        <v>848</v>
      </c>
      <c r="B38" s="398"/>
      <c r="C38" s="398"/>
      <c r="D38" s="398"/>
      <c r="E38" s="398"/>
      <c r="F38" s="398"/>
      <c r="G38" s="398">
        <v>1</v>
      </c>
      <c r="H38" s="398"/>
      <c r="I38" s="398"/>
      <c r="J38" s="398"/>
      <c r="K38" s="398"/>
      <c r="L38" s="398"/>
      <c r="M38" s="398"/>
      <c r="N38" s="398"/>
      <c r="O38" s="398"/>
      <c r="P38" s="398">
        <v>1</v>
      </c>
    </row>
    <row r="39" spans="1:16">
      <c r="A39" s="2" t="s">
        <v>207</v>
      </c>
      <c r="B39" s="398"/>
      <c r="C39" s="398"/>
      <c r="D39" s="398"/>
      <c r="E39" s="398"/>
      <c r="F39" s="398"/>
      <c r="G39" s="398">
        <v>5</v>
      </c>
      <c r="H39" s="398"/>
      <c r="I39" s="398"/>
      <c r="J39" s="398"/>
      <c r="K39" s="398"/>
      <c r="L39" s="398"/>
      <c r="M39" s="398"/>
      <c r="N39" s="398"/>
      <c r="O39" s="398"/>
      <c r="P39" s="398">
        <v>5</v>
      </c>
    </row>
    <row r="40" spans="1:16">
      <c r="A40" s="2" t="s">
        <v>211</v>
      </c>
      <c r="B40" s="398"/>
      <c r="C40" s="398"/>
      <c r="D40" s="398"/>
      <c r="E40" s="398"/>
      <c r="F40" s="398"/>
      <c r="G40" s="398">
        <v>2</v>
      </c>
      <c r="H40" s="398"/>
      <c r="I40" s="398"/>
      <c r="J40" s="398"/>
      <c r="K40" s="398"/>
      <c r="L40" s="398"/>
      <c r="M40" s="398"/>
      <c r="N40" s="398"/>
      <c r="O40" s="398"/>
      <c r="P40" s="398">
        <v>2</v>
      </c>
    </row>
    <row r="41" spans="1:16">
      <c r="A41" s="2" t="s">
        <v>215</v>
      </c>
      <c r="B41" s="398"/>
      <c r="C41" s="398"/>
      <c r="D41" s="398"/>
      <c r="E41" s="398"/>
      <c r="F41" s="398"/>
      <c r="G41" s="398">
        <v>6</v>
      </c>
      <c r="H41" s="398"/>
      <c r="I41" s="398"/>
      <c r="J41" s="398">
        <v>3</v>
      </c>
      <c r="K41" s="398"/>
      <c r="L41" s="398"/>
      <c r="M41" s="398"/>
      <c r="N41" s="398"/>
      <c r="O41" s="398"/>
      <c r="P41" s="398">
        <v>9</v>
      </c>
    </row>
    <row r="42" spans="1:16">
      <c r="A42" s="2" t="s">
        <v>224</v>
      </c>
      <c r="B42" s="398"/>
      <c r="C42" s="398"/>
      <c r="D42" s="398"/>
      <c r="E42" s="398"/>
      <c r="F42" s="398"/>
      <c r="G42" s="398">
        <v>3</v>
      </c>
      <c r="H42" s="398"/>
      <c r="I42" s="398"/>
      <c r="J42" s="398"/>
      <c r="K42" s="398"/>
      <c r="L42" s="398"/>
      <c r="M42" s="398"/>
      <c r="N42" s="398"/>
      <c r="O42" s="398"/>
      <c r="P42" s="398">
        <v>3</v>
      </c>
    </row>
    <row r="43" spans="1:16">
      <c r="A43" s="2" t="s">
        <v>218</v>
      </c>
      <c r="B43" s="398"/>
      <c r="C43" s="398"/>
      <c r="D43" s="398"/>
      <c r="E43" s="398"/>
      <c r="F43" s="398"/>
      <c r="G43" s="398">
        <v>11</v>
      </c>
      <c r="H43" s="398"/>
      <c r="I43" s="398"/>
      <c r="J43" s="398"/>
      <c r="K43" s="398"/>
      <c r="L43" s="398"/>
      <c r="M43" s="398"/>
      <c r="N43" s="398"/>
      <c r="O43" s="398"/>
      <c r="P43" s="398">
        <v>11</v>
      </c>
    </row>
    <row r="44" spans="1:16">
      <c r="A44" s="2" t="s">
        <v>227</v>
      </c>
      <c r="B44" s="398"/>
      <c r="C44" s="398"/>
      <c r="D44" s="398"/>
      <c r="E44" s="398"/>
      <c r="F44" s="398"/>
      <c r="G44" s="398"/>
      <c r="H44" s="398">
        <v>1</v>
      </c>
      <c r="I44" s="398"/>
      <c r="J44" s="398"/>
      <c r="K44" s="398"/>
      <c r="L44" s="398"/>
      <c r="M44" s="398"/>
      <c r="N44" s="398"/>
      <c r="O44" s="398"/>
      <c r="P44" s="398">
        <v>1</v>
      </c>
    </row>
    <row r="45" spans="1:16">
      <c r="A45" s="2" t="s">
        <v>230</v>
      </c>
      <c r="B45" s="398"/>
      <c r="C45" s="398"/>
      <c r="D45" s="398"/>
      <c r="E45" s="398"/>
      <c r="F45" s="398"/>
      <c r="G45" s="398"/>
      <c r="H45" s="398">
        <v>7</v>
      </c>
      <c r="I45" s="398"/>
      <c r="J45" s="398"/>
      <c r="K45" s="398"/>
      <c r="L45" s="398">
        <v>2</v>
      </c>
      <c r="M45" s="398"/>
      <c r="N45" s="398"/>
      <c r="O45" s="398"/>
      <c r="P45" s="398">
        <v>9</v>
      </c>
    </row>
    <row r="46" spans="1:16">
      <c r="A46" s="2" t="s">
        <v>1605</v>
      </c>
      <c r="B46" s="398"/>
      <c r="C46" s="398"/>
      <c r="D46" s="398"/>
      <c r="E46" s="398"/>
      <c r="F46" s="398"/>
      <c r="G46" s="398"/>
      <c r="H46" s="398">
        <v>1</v>
      </c>
      <c r="I46" s="398"/>
      <c r="J46" s="398"/>
      <c r="K46" s="398"/>
      <c r="L46" s="398"/>
      <c r="M46" s="398"/>
      <c r="N46" s="398"/>
      <c r="O46" s="398"/>
      <c r="P46" s="398">
        <v>1</v>
      </c>
    </row>
    <row r="47" spans="1:16">
      <c r="A47" s="2" t="s">
        <v>250</v>
      </c>
      <c r="B47" s="398"/>
      <c r="C47" s="398"/>
      <c r="D47" s="398"/>
      <c r="E47" s="398"/>
      <c r="F47" s="398"/>
      <c r="G47" s="398"/>
      <c r="H47" s="398">
        <v>3</v>
      </c>
      <c r="I47" s="398"/>
      <c r="J47" s="398"/>
      <c r="K47" s="398"/>
      <c r="L47" s="398"/>
      <c r="M47" s="398"/>
      <c r="N47" s="398"/>
      <c r="O47" s="398"/>
      <c r="P47" s="398">
        <v>3</v>
      </c>
    </row>
    <row r="48" spans="1:16">
      <c r="A48" s="2" t="s">
        <v>252</v>
      </c>
      <c r="B48" s="398"/>
      <c r="C48" s="398"/>
      <c r="D48" s="398"/>
      <c r="E48" s="398"/>
      <c r="F48" s="398"/>
      <c r="G48" s="398"/>
      <c r="H48" s="398"/>
      <c r="I48" s="398">
        <v>2</v>
      </c>
      <c r="J48" s="398"/>
      <c r="K48" s="398"/>
      <c r="L48" s="398"/>
      <c r="M48" s="398"/>
      <c r="N48" s="398"/>
      <c r="O48" s="398"/>
      <c r="P48" s="398">
        <v>2</v>
      </c>
    </row>
    <row r="49" spans="1:16">
      <c r="A49" s="2" t="s">
        <v>255</v>
      </c>
      <c r="B49" s="398"/>
      <c r="C49" s="398"/>
      <c r="D49" s="398"/>
      <c r="E49" s="398"/>
      <c r="F49" s="398"/>
      <c r="G49" s="398"/>
      <c r="H49" s="398"/>
      <c r="I49" s="398">
        <v>4</v>
      </c>
      <c r="J49" s="398"/>
      <c r="K49" s="398"/>
      <c r="L49" s="398"/>
      <c r="M49" s="398"/>
      <c r="N49" s="398"/>
      <c r="O49" s="398"/>
      <c r="P49" s="398">
        <v>4</v>
      </c>
    </row>
    <row r="50" spans="1:16">
      <c r="A50" s="2" t="s">
        <v>237</v>
      </c>
      <c r="B50" s="398"/>
      <c r="C50" s="398"/>
      <c r="D50" s="398"/>
      <c r="E50" s="398"/>
      <c r="F50" s="398"/>
      <c r="G50" s="398"/>
      <c r="H50" s="398"/>
      <c r="I50" s="398">
        <v>3</v>
      </c>
      <c r="J50" s="398"/>
      <c r="K50" s="398"/>
      <c r="L50" s="398"/>
      <c r="M50" s="398"/>
      <c r="N50" s="398"/>
      <c r="O50" s="398"/>
      <c r="P50" s="398">
        <v>3</v>
      </c>
    </row>
    <row r="51" spans="1:16">
      <c r="A51" s="2" t="s">
        <v>242</v>
      </c>
      <c r="B51" s="398"/>
      <c r="C51" s="398"/>
      <c r="D51" s="398"/>
      <c r="E51" s="398"/>
      <c r="F51" s="398"/>
      <c r="G51" s="398"/>
      <c r="H51" s="398"/>
      <c r="I51" s="398">
        <v>6</v>
      </c>
      <c r="J51" s="398"/>
      <c r="K51" s="398"/>
      <c r="L51" s="398"/>
      <c r="M51" s="398"/>
      <c r="N51" s="398"/>
      <c r="O51" s="398"/>
      <c r="P51" s="398">
        <v>6</v>
      </c>
    </row>
    <row r="52" spans="1:16">
      <c r="A52" s="2" t="s">
        <v>244</v>
      </c>
      <c r="B52" s="398"/>
      <c r="C52" s="398"/>
      <c r="D52" s="398"/>
      <c r="E52" s="398"/>
      <c r="F52" s="398"/>
      <c r="G52" s="398"/>
      <c r="H52" s="398"/>
      <c r="I52" s="398">
        <v>2</v>
      </c>
      <c r="J52" s="398"/>
      <c r="K52" s="398"/>
      <c r="L52" s="398"/>
      <c r="M52" s="398"/>
      <c r="N52" s="398"/>
      <c r="O52" s="398"/>
      <c r="P52" s="398">
        <v>2</v>
      </c>
    </row>
    <row r="53" spans="1:16">
      <c r="A53" s="2" t="s">
        <v>1054</v>
      </c>
      <c r="B53" s="398"/>
      <c r="C53" s="398"/>
      <c r="D53" s="398">
        <v>1</v>
      </c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>
        <v>1</v>
      </c>
    </row>
    <row r="54" spans="1:16">
      <c r="A54" s="2" t="s">
        <v>850</v>
      </c>
      <c r="B54" s="398"/>
      <c r="C54" s="398"/>
      <c r="D54" s="398"/>
      <c r="E54" s="398"/>
      <c r="F54" s="398"/>
      <c r="G54" s="398">
        <v>1</v>
      </c>
      <c r="H54" s="398"/>
      <c r="I54" s="398"/>
      <c r="J54" s="398"/>
      <c r="K54" s="398"/>
      <c r="L54" s="398"/>
      <c r="M54" s="398"/>
      <c r="N54" s="398">
        <v>3</v>
      </c>
      <c r="O54" s="398"/>
      <c r="P54" s="398">
        <v>4</v>
      </c>
    </row>
    <row r="55" spans="1:16">
      <c r="A55" s="2" t="s">
        <v>233</v>
      </c>
      <c r="B55" s="398"/>
      <c r="C55" s="398"/>
      <c r="D55" s="398"/>
      <c r="E55" s="398"/>
      <c r="F55" s="398"/>
      <c r="G55" s="398"/>
      <c r="H55" s="398">
        <v>1</v>
      </c>
      <c r="I55" s="398"/>
      <c r="J55" s="398"/>
      <c r="K55" s="398"/>
      <c r="L55" s="398"/>
      <c r="M55" s="398"/>
      <c r="N55" s="398"/>
      <c r="O55" s="398"/>
      <c r="P55" s="398">
        <v>1</v>
      </c>
    </row>
    <row r="56" spans="1:16">
      <c r="A56" s="2" t="s">
        <v>67</v>
      </c>
      <c r="B56" s="398">
        <v>15</v>
      </c>
      <c r="C56" s="398">
        <v>15</v>
      </c>
      <c r="D56" s="398">
        <v>15</v>
      </c>
      <c r="E56" s="398">
        <v>27</v>
      </c>
      <c r="F56" s="398">
        <v>6</v>
      </c>
      <c r="G56" s="398">
        <v>59</v>
      </c>
      <c r="H56" s="398">
        <v>14</v>
      </c>
      <c r="I56" s="398">
        <v>17</v>
      </c>
      <c r="J56" s="398">
        <v>3</v>
      </c>
      <c r="K56" s="398">
        <v>4</v>
      </c>
      <c r="L56" s="398">
        <v>2</v>
      </c>
      <c r="M56" s="398">
        <v>1</v>
      </c>
      <c r="N56" s="398">
        <v>3</v>
      </c>
      <c r="O56" s="398">
        <v>1</v>
      </c>
      <c r="P56" s="398">
        <v>182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311" bestFit="1" customWidth="1"/>
    <col min="3" max="13" width="19.125" style="311" bestFit="1" customWidth="1"/>
    <col min="14" max="14" width="19.75" style="311" bestFit="1" customWidth="1"/>
    <col min="15" max="51" width="19.125" style="311" bestFit="1" customWidth="1"/>
    <col min="52" max="52" width="22.25" style="311" bestFit="1" customWidth="1"/>
    <col min="53" max="65" width="19.125" style="311" bestFit="1" customWidth="1"/>
    <col min="66" max="67" width="26.875" style="311" bestFit="1" customWidth="1"/>
    <col min="68" max="69" width="8.75" style="311" customWidth="1"/>
    <col min="70" max="16384" width="8.75" style="311"/>
  </cols>
  <sheetData>
    <row r="1" spans="1:22">
      <c r="A1" s="51"/>
      <c r="B1" s="39" t="str">
        <f>B34</f>
        <v>追蹤議題預計完工/實際完工</v>
      </c>
      <c r="C1" s="51"/>
    </row>
    <row r="2" spans="1:22" s="374" customFormat="1">
      <c r="A2" s="375"/>
      <c r="B2" s="50"/>
      <c r="C2" s="50"/>
      <c r="F2" s="376"/>
    </row>
    <row r="3" spans="1:22" s="56" customFormat="1">
      <c r="A3" s="50" t="s">
        <v>1435</v>
      </c>
      <c r="B3" s="50" t="s">
        <v>2304</v>
      </c>
      <c r="C3" s="50" t="s">
        <v>2305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109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67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311"/>
    </row>
    <row r="34" spans="1:67">
      <c r="B34" s="119" t="s">
        <v>2306</v>
      </c>
    </row>
    <row r="35" spans="1:67">
      <c r="B35" s="53">
        <v>44438</v>
      </c>
      <c r="D35" s="53">
        <v>44407</v>
      </c>
      <c r="F35" s="53">
        <v>44439</v>
      </c>
      <c r="H35" s="53">
        <v>44403</v>
      </c>
      <c r="J35" s="53">
        <v>44428</v>
      </c>
      <c r="L35" s="53">
        <v>44414</v>
      </c>
      <c r="N35" s="311" t="s">
        <v>2053</v>
      </c>
      <c r="P35" s="53">
        <v>44421</v>
      </c>
      <c r="R35" s="53">
        <v>44419</v>
      </c>
      <c r="T35" s="311" t="s">
        <v>109</v>
      </c>
      <c r="V35" s="53">
        <v>44454</v>
      </c>
      <c r="X35" s="53">
        <v>44442</v>
      </c>
      <c r="Z35" s="53">
        <v>44435</v>
      </c>
      <c r="AB35" s="53">
        <v>44449</v>
      </c>
      <c r="AD35" s="53">
        <v>44469</v>
      </c>
      <c r="AF35" s="53">
        <v>44466</v>
      </c>
      <c r="AH35" s="53">
        <v>44474</v>
      </c>
      <c r="AJ35" s="53">
        <v>44467</v>
      </c>
      <c r="AL35" s="53">
        <v>44477</v>
      </c>
      <c r="AN35" s="53">
        <v>44475</v>
      </c>
      <c r="AP35" s="53">
        <v>44487</v>
      </c>
      <c r="AR35" s="53">
        <v>44498</v>
      </c>
      <c r="AT35" s="53">
        <v>44491</v>
      </c>
      <c r="AV35" s="53">
        <v>44496</v>
      </c>
      <c r="AX35" s="53">
        <v>44495</v>
      </c>
      <c r="AZ35" s="311" t="s">
        <v>2121</v>
      </c>
      <c r="BB35" s="53">
        <v>44494</v>
      </c>
      <c r="BD35" s="53">
        <v>44620</v>
      </c>
      <c r="BF35" s="53">
        <v>44530</v>
      </c>
      <c r="BH35" s="53">
        <v>44505</v>
      </c>
      <c r="BJ35" s="53">
        <v>44515</v>
      </c>
      <c r="BL35" s="53">
        <v>44519</v>
      </c>
      <c r="BN35" s="311" t="s">
        <v>2304</v>
      </c>
      <c r="BO35" s="311" t="s">
        <v>2305</v>
      </c>
    </row>
    <row r="36" spans="1:67">
      <c r="A36" s="120" t="s">
        <v>1435</v>
      </c>
      <c r="B36" s="311" t="s">
        <v>2307</v>
      </c>
      <c r="C36" s="311" t="s">
        <v>2308</v>
      </c>
      <c r="D36" s="311" t="s">
        <v>2307</v>
      </c>
      <c r="E36" s="311" t="s">
        <v>2308</v>
      </c>
      <c r="F36" s="311" t="s">
        <v>2307</v>
      </c>
      <c r="G36" s="311" t="s">
        <v>2308</v>
      </c>
      <c r="H36" s="311" t="s">
        <v>2307</v>
      </c>
      <c r="I36" s="311" t="s">
        <v>2308</v>
      </c>
      <c r="J36" s="311" t="s">
        <v>2307</v>
      </c>
      <c r="K36" s="311" t="s">
        <v>2308</v>
      </c>
      <c r="L36" s="311" t="s">
        <v>2307</v>
      </c>
      <c r="M36" s="311" t="s">
        <v>2308</v>
      </c>
      <c r="N36" s="311" t="s">
        <v>2307</v>
      </c>
      <c r="O36" s="311" t="s">
        <v>2308</v>
      </c>
      <c r="P36" s="311" t="s">
        <v>2307</v>
      </c>
      <c r="Q36" s="311" t="s">
        <v>2308</v>
      </c>
      <c r="R36" s="311" t="s">
        <v>2307</v>
      </c>
      <c r="S36" s="311" t="s">
        <v>2308</v>
      </c>
      <c r="T36" s="311" t="s">
        <v>2307</v>
      </c>
      <c r="U36" s="311" t="s">
        <v>2308</v>
      </c>
      <c r="V36" s="311" t="s">
        <v>2307</v>
      </c>
      <c r="W36" s="311" t="s">
        <v>2308</v>
      </c>
      <c r="X36" s="311" t="s">
        <v>2307</v>
      </c>
      <c r="Y36" s="311" t="s">
        <v>2308</v>
      </c>
      <c r="Z36" s="311" t="s">
        <v>2307</v>
      </c>
      <c r="AA36" s="311" t="s">
        <v>2308</v>
      </c>
      <c r="AB36" s="311" t="s">
        <v>2307</v>
      </c>
      <c r="AC36" s="311" t="s">
        <v>2308</v>
      </c>
      <c r="AD36" s="311" t="s">
        <v>2307</v>
      </c>
      <c r="AE36" s="311" t="s">
        <v>2308</v>
      </c>
      <c r="AF36" s="311" t="s">
        <v>2307</v>
      </c>
      <c r="AG36" s="311" t="s">
        <v>2308</v>
      </c>
      <c r="AH36" s="311" t="s">
        <v>2307</v>
      </c>
      <c r="AI36" s="311" t="s">
        <v>2308</v>
      </c>
      <c r="AJ36" s="311" t="s">
        <v>2307</v>
      </c>
      <c r="AK36" s="311" t="s">
        <v>2308</v>
      </c>
      <c r="AL36" s="311" t="s">
        <v>2307</v>
      </c>
      <c r="AM36" s="311" t="s">
        <v>2308</v>
      </c>
      <c r="AN36" s="311" t="s">
        <v>2307</v>
      </c>
      <c r="AO36" s="311" t="s">
        <v>2308</v>
      </c>
      <c r="AP36" s="311" t="s">
        <v>2307</v>
      </c>
      <c r="AQ36" s="311" t="s">
        <v>2308</v>
      </c>
      <c r="AR36" s="311" t="s">
        <v>2307</v>
      </c>
      <c r="AS36" s="311" t="s">
        <v>2308</v>
      </c>
      <c r="AT36" s="311" t="s">
        <v>2307</v>
      </c>
      <c r="AU36" s="311" t="s">
        <v>2308</v>
      </c>
      <c r="AV36" s="311" t="s">
        <v>2307</v>
      </c>
      <c r="AW36" s="311" t="s">
        <v>2308</v>
      </c>
      <c r="AX36" s="311" t="s">
        <v>2307</v>
      </c>
      <c r="AY36" s="311" t="s">
        <v>2308</v>
      </c>
      <c r="AZ36" s="311" t="s">
        <v>2307</v>
      </c>
      <c r="BA36" s="311" t="s">
        <v>2308</v>
      </c>
      <c r="BB36" s="311" t="s">
        <v>2307</v>
      </c>
      <c r="BC36" s="311" t="s">
        <v>2308</v>
      </c>
      <c r="BD36" s="311" t="s">
        <v>2307</v>
      </c>
      <c r="BE36" s="311" t="s">
        <v>2308</v>
      </c>
      <c r="BF36" s="311" t="s">
        <v>2307</v>
      </c>
      <c r="BG36" s="311" t="s">
        <v>2308</v>
      </c>
      <c r="BH36" s="311" t="s">
        <v>2307</v>
      </c>
      <c r="BI36" s="311" t="s">
        <v>2308</v>
      </c>
      <c r="BJ36" s="311" t="s">
        <v>2307</v>
      </c>
      <c r="BK36" s="311" t="s">
        <v>2308</v>
      </c>
      <c r="BL36" s="311" t="s">
        <v>2307</v>
      </c>
      <c r="BM36" s="311" t="s">
        <v>2308</v>
      </c>
    </row>
    <row r="37" spans="1:67">
      <c r="A37" s="42">
        <v>44396</v>
      </c>
      <c r="B37" s="398">
        <v>1</v>
      </c>
      <c r="C37" s="398"/>
      <c r="D37" s="398"/>
      <c r="E37" s="398"/>
      <c r="F37" s="398"/>
      <c r="G37" s="398"/>
      <c r="H37" s="398"/>
      <c r="I37" s="398"/>
      <c r="J37" s="398"/>
      <c r="K37" s="398"/>
      <c r="L37" s="398"/>
      <c r="M37" s="398"/>
      <c r="N37" s="398"/>
      <c r="O37" s="398"/>
      <c r="P37" s="398"/>
      <c r="Q37" s="398"/>
      <c r="R37" s="398"/>
      <c r="S37" s="398"/>
      <c r="T37" s="398"/>
      <c r="U37" s="398"/>
      <c r="V37" s="398"/>
      <c r="W37" s="398"/>
      <c r="X37" s="398"/>
      <c r="Y37" s="398"/>
      <c r="Z37" s="398"/>
      <c r="AA37" s="398"/>
      <c r="AB37" s="398"/>
      <c r="AC37" s="398"/>
      <c r="AD37" s="398"/>
      <c r="AE37" s="398"/>
      <c r="AF37" s="398"/>
      <c r="AG37" s="398"/>
      <c r="AH37" s="398"/>
      <c r="AI37" s="398"/>
      <c r="AJ37" s="398"/>
      <c r="AK37" s="398"/>
      <c r="AL37" s="398"/>
      <c r="AM37" s="398"/>
      <c r="AN37" s="398"/>
      <c r="AO37" s="398"/>
      <c r="AP37" s="398"/>
      <c r="AQ37" s="398"/>
      <c r="AR37" s="398"/>
      <c r="AS37" s="398"/>
      <c r="AT37" s="398"/>
      <c r="AU37" s="398"/>
      <c r="AV37" s="398"/>
      <c r="AW37" s="398"/>
      <c r="AX37" s="398"/>
      <c r="AY37" s="398"/>
      <c r="AZ37" s="398"/>
      <c r="BA37" s="398"/>
      <c r="BB37" s="398"/>
      <c r="BC37" s="398"/>
      <c r="BD37" s="398"/>
      <c r="BE37" s="398"/>
      <c r="BF37" s="398"/>
      <c r="BG37" s="398"/>
      <c r="BH37" s="398"/>
      <c r="BI37" s="398"/>
      <c r="BJ37" s="398"/>
      <c r="BK37" s="398"/>
      <c r="BL37" s="398"/>
      <c r="BM37" s="398"/>
      <c r="BN37" s="398">
        <v>1</v>
      </c>
      <c r="BO37" s="398"/>
    </row>
    <row r="38" spans="1:67">
      <c r="A38" s="42">
        <v>44397</v>
      </c>
      <c r="B38" s="398"/>
      <c r="C38" s="398"/>
      <c r="D38" s="398">
        <v>2</v>
      </c>
      <c r="E38" s="398">
        <v>2</v>
      </c>
      <c r="F38" s="398"/>
      <c r="G38" s="398"/>
      <c r="H38" s="398"/>
      <c r="I38" s="398"/>
      <c r="J38" s="398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398"/>
      <c r="W38" s="398"/>
      <c r="X38" s="398"/>
      <c r="Y38" s="398"/>
      <c r="Z38" s="398"/>
      <c r="AA38" s="398"/>
      <c r="AB38" s="398"/>
      <c r="AC38" s="398"/>
      <c r="AD38" s="398"/>
      <c r="AE38" s="398"/>
      <c r="AF38" s="398"/>
      <c r="AG38" s="398"/>
      <c r="AH38" s="398"/>
      <c r="AI38" s="398"/>
      <c r="AJ38" s="398"/>
      <c r="AK38" s="398"/>
      <c r="AL38" s="398"/>
      <c r="AM38" s="398"/>
      <c r="AN38" s="398"/>
      <c r="AO38" s="398"/>
      <c r="AP38" s="398"/>
      <c r="AQ38" s="398"/>
      <c r="AR38" s="398"/>
      <c r="AS38" s="398"/>
      <c r="AT38" s="398"/>
      <c r="AU38" s="398"/>
      <c r="AV38" s="398"/>
      <c r="AW38" s="398"/>
      <c r="AX38" s="398"/>
      <c r="AY38" s="398"/>
      <c r="AZ38" s="398"/>
      <c r="BA38" s="398"/>
      <c r="BB38" s="398"/>
      <c r="BC38" s="398"/>
      <c r="BD38" s="398"/>
      <c r="BE38" s="398"/>
      <c r="BF38" s="398"/>
      <c r="BG38" s="398"/>
      <c r="BH38" s="398"/>
      <c r="BI38" s="398"/>
      <c r="BJ38" s="398"/>
      <c r="BK38" s="398"/>
      <c r="BL38" s="398"/>
      <c r="BM38" s="398"/>
      <c r="BN38" s="398">
        <v>2</v>
      </c>
      <c r="BO38" s="398">
        <v>2</v>
      </c>
    </row>
    <row r="39" spans="1:67">
      <c r="A39" s="42">
        <v>44398</v>
      </c>
      <c r="B39" s="398"/>
      <c r="C39" s="398"/>
      <c r="D39" s="398">
        <v>1</v>
      </c>
      <c r="E39" s="398">
        <v>1</v>
      </c>
      <c r="F39" s="398">
        <v>1</v>
      </c>
      <c r="G39" s="398"/>
      <c r="H39" s="398"/>
      <c r="I39" s="398"/>
      <c r="J39" s="398"/>
      <c r="K39" s="398"/>
      <c r="L39" s="398">
        <v>4</v>
      </c>
      <c r="M39" s="398">
        <v>4</v>
      </c>
      <c r="N39" s="398"/>
      <c r="O39" s="398"/>
      <c r="P39" s="398"/>
      <c r="Q39" s="398"/>
      <c r="R39" s="398"/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8"/>
      <c r="AP39" s="398"/>
      <c r="AQ39" s="398"/>
      <c r="AR39" s="398"/>
      <c r="AS39" s="398"/>
      <c r="AT39" s="398"/>
      <c r="AU39" s="398"/>
      <c r="AV39" s="398"/>
      <c r="AW39" s="398"/>
      <c r="AX39" s="398"/>
      <c r="AY39" s="398"/>
      <c r="AZ39" s="398"/>
      <c r="BA39" s="398"/>
      <c r="BB39" s="398"/>
      <c r="BC39" s="398"/>
      <c r="BD39" s="398"/>
      <c r="BE39" s="398"/>
      <c r="BF39" s="398"/>
      <c r="BG39" s="398"/>
      <c r="BH39" s="398"/>
      <c r="BI39" s="398"/>
      <c r="BJ39" s="398"/>
      <c r="BK39" s="398"/>
      <c r="BL39" s="398"/>
      <c r="BM39" s="398"/>
      <c r="BN39" s="398">
        <v>6</v>
      </c>
      <c r="BO39" s="398">
        <v>5</v>
      </c>
    </row>
    <row r="40" spans="1:67">
      <c r="A40" s="42">
        <v>44399</v>
      </c>
      <c r="B40" s="398"/>
      <c r="C40" s="398"/>
      <c r="D40" s="398">
        <v>2</v>
      </c>
      <c r="E40" s="398">
        <v>2</v>
      </c>
      <c r="F40" s="398"/>
      <c r="G40" s="398"/>
      <c r="H40" s="398">
        <v>1</v>
      </c>
      <c r="I40" s="398">
        <v>1</v>
      </c>
      <c r="J40" s="398"/>
      <c r="K40" s="398"/>
      <c r="L40" s="398"/>
      <c r="M40" s="398"/>
      <c r="N40" s="398"/>
      <c r="O40" s="398"/>
      <c r="P40" s="398">
        <v>1</v>
      </c>
      <c r="Q40" s="398">
        <v>1</v>
      </c>
      <c r="R40" s="398"/>
      <c r="S40" s="398"/>
      <c r="T40" s="398"/>
      <c r="U40" s="398"/>
      <c r="V40" s="398"/>
      <c r="W40" s="398"/>
      <c r="X40" s="398"/>
      <c r="Y40" s="398"/>
      <c r="Z40" s="398"/>
      <c r="AA40" s="398"/>
      <c r="AB40" s="398"/>
      <c r="AC40" s="398"/>
      <c r="AD40" s="398"/>
      <c r="AE40" s="398"/>
      <c r="AF40" s="398"/>
      <c r="AG40" s="398"/>
      <c r="AH40" s="398"/>
      <c r="AI40" s="398"/>
      <c r="AJ40" s="398"/>
      <c r="AK40" s="398"/>
      <c r="AL40" s="398"/>
      <c r="AM40" s="398"/>
      <c r="AN40" s="398"/>
      <c r="AO40" s="398"/>
      <c r="AP40" s="398"/>
      <c r="AQ40" s="398"/>
      <c r="AR40" s="398"/>
      <c r="AS40" s="398"/>
      <c r="AT40" s="398"/>
      <c r="AU40" s="398"/>
      <c r="AV40" s="398"/>
      <c r="AW40" s="398"/>
      <c r="AX40" s="398"/>
      <c r="AY40" s="398"/>
      <c r="AZ40" s="398"/>
      <c r="BA40" s="398"/>
      <c r="BB40" s="398"/>
      <c r="BC40" s="398"/>
      <c r="BD40" s="398"/>
      <c r="BE40" s="398"/>
      <c r="BF40" s="398"/>
      <c r="BG40" s="398"/>
      <c r="BH40" s="398"/>
      <c r="BI40" s="398"/>
      <c r="BJ40" s="398"/>
      <c r="BK40" s="398"/>
      <c r="BL40" s="398"/>
      <c r="BM40" s="398"/>
      <c r="BN40" s="398">
        <v>4</v>
      </c>
      <c r="BO40" s="398">
        <v>4</v>
      </c>
    </row>
    <row r="41" spans="1:67">
      <c r="A41" s="42">
        <v>44400</v>
      </c>
      <c r="B41" s="398"/>
      <c r="C41" s="398"/>
      <c r="D41" s="398">
        <v>1</v>
      </c>
      <c r="E41" s="398">
        <v>1</v>
      </c>
      <c r="F41" s="398"/>
      <c r="G41" s="398"/>
      <c r="H41" s="398"/>
      <c r="I41" s="398"/>
      <c r="J41" s="398">
        <v>1</v>
      </c>
      <c r="K41" s="398">
        <v>1</v>
      </c>
      <c r="L41" s="398"/>
      <c r="M41" s="398"/>
      <c r="N41" s="398"/>
      <c r="O41" s="398"/>
      <c r="P41" s="398"/>
      <c r="Q41" s="398"/>
      <c r="R41" s="398"/>
      <c r="S41" s="398"/>
      <c r="T41" s="398"/>
      <c r="U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398"/>
      <c r="AQ41" s="398"/>
      <c r="AR41" s="398"/>
      <c r="AS41" s="398"/>
      <c r="AT41" s="398"/>
      <c r="AU41" s="398"/>
      <c r="AV41" s="398"/>
      <c r="AW41" s="398"/>
      <c r="AX41" s="398"/>
      <c r="AY41" s="398"/>
      <c r="AZ41" s="398"/>
      <c r="BA41" s="398"/>
      <c r="BB41" s="398"/>
      <c r="BC41" s="398"/>
      <c r="BD41" s="398"/>
      <c r="BE41" s="398"/>
      <c r="BF41" s="398"/>
      <c r="BG41" s="398"/>
      <c r="BH41" s="398"/>
      <c r="BI41" s="398"/>
      <c r="BJ41" s="398"/>
      <c r="BK41" s="398"/>
      <c r="BL41" s="398"/>
      <c r="BM41" s="398"/>
      <c r="BN41" s="398">
        <v>2</v>
      </c>
      <c r="BO41" s="398">
        <v>2</v>
      </c>
    </row>
    <row r="42" spans="1:67">
      <c r="A42" s="2" t="s">
        <v>109</v>
      </c>
      <c r="B42" s="398"/>
      <c r="C42" s="398"/>
      <c r="D42" s="398"/>
      <c r="E42" s="398"/>
      <c r="F42" s="398"/>
      <c r="G42" s="398"/>
      <c r="H42" s="398"/>
      <c r="I42" s="398"/>
      <c r="J42" s="398"/>
      <c r="K42" s="398"/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398"/>
      <c r="AQ42" s="398"/>
      <c r="AR42" s="398"/>
      <c r="AS42" s="398"/>
      <c r="AT42" s="398"/>
      <c r="AU42" s="398"/>
      <c r="AV42" s="398"/>
      <c r="AW42" s="398"/>
      <c r="AX42" s="398"/>
      <c r="AY42" s="398"/>
      <c r="AZ42" s="398"/>
      <c r="BA42" s="398"/>
      <c r="BB42" s="398"/>
      <c r="BC42" s="398"/>
      <c r="BD42" s="398"/>
      <c r="BE42" s="398"/>
      <c r="BF42" s="398"/>
      <c r="BG42" s="398"/>
      <c r="BH42" s="398"/>
      <c r="BI42" s="398"/>
      <c r="BJ42" s="398"/>
      <c r="BK42" s="398"/>
      <c r="BL42" s="398"/>
      <c r="BM42" s="398"/>
      <c r="BN42" s="398"/>
      <c r="BO42" s="398"/>
    </row>
    <row r="43" spans="1:67">
      <c r="A43" s="42">
        <v>44403</v>
      </c>
      <c r="B43" s="398"/>
      <c r="C43" s="398"/>
      <c r="D43" s="398"/>
      <c r="E43" s="398"/>
      <c r="F43" s="398">
        <v>2</v>
      </c>
      <c r="G43" s="398"/>
      <c r="H43" s="398"/>
      <c r="I43" s="398"/>
      <c r="J43" s="398">
        <v>1</v>
      </c>
      <c r="K43" s="398">
        <v>1</v>
      </c>
      <c r="L43" s="398">
        <v>6</v>
      </c>
      <c r="M43" s="398">
        <v>6</v>
      </c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398"/>
      <c r="AQ43" s="398"/>
      <c r="AR43" s="398"/>
      <c r="AS43" s="398"/>
      <c r="AT43" s="398"/>
      <c r="AU43" s="398"/>
      <c r="AV43" s="398"/>
      <c r="AW43" s="398"/>
      <c r="AX43" s="398"/>
      <c r="AY43" s="398"/>
      <c r="AZ43" s="398"/>
      <c r="BA43" s="398"/>
      <c r="BB43" s="398"/>
      <c r="BC43" s="398"/>
      <c r="BD43" s="398"/>
      <c r="BE43" s="398"/>
      <c r="BF43" s="398"/>
      <c r="BG43" s="398"/>
      <c r="BH43" s="398"/>
      <c r="BI43" s="398"/>
      <c r="BJ43" s="398"/>
      <c r="BK43" s="398"/>
      <c r="BL43" s="398"/>
      <c r="BM43" s="398"/>
      <c r="BN43" s="398">
        <v>9</v>
      </c>
      <c r="BO43" s="398">
        <v>7</v>
      </c>
    </row>
    <row r="44" spans="1:67">
      <c r="A44" s="42">
        <v>44404</v>
      </c>
      <c r="B44" s="398"/>
      <c r="C44" s="398"/>
      <c r="D44" s="398"/>
      <c r="E44" s="398"/>
      <c r="F44" s="398">
        <v>1</v>
      </c>
      <c r="G44" s="398"/>
      <c r="H44" s="398"/>
      <c r="I44" s="398"/>
      <c r="J44" s="398"/>
      <c r="K44" s="398"/>
      <c r="L44" s="398"/>
      <c r="M44" s="398"/>
      <c r="N44" s="398">
        <v>1</v>
      </c>
      <c r="O44" s="398"/>
      <c r="P44" s="398">
        <v>2</v>
      </c>
      <c r="Q44" s="398">
        <v>2</v>
      </c>
      <c r="R44" s="398"/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398"/>
      <c r="AQ44" s="398"/>
      <c r="AR44" s="398"/>
      <c r="AS44" s="398"/>
      <c r="AT44" s="398"/>
      <c r="AU44" s="398"/>
      <c r="AV44" s="398"/>
      <c r="AW44" s="398"/>
      <c r="AX44" s="398"/>
      <c r="AY44" s="398"/>
      <c r="AZ44" s="398"/>
      <c r="BA44" s="398"/>
      <c r="BB44" s="398"/>
      <c r="BC44" s="398"/>
      <c r="BD44" s="398"/>
      <c r="BE44" s="398"/>
      <c r="BF44" s="398"/>
      <c r="BG44" s="398"/>
      <c r="BH44" s="398"/>
      <c r="BI44" s="398"/>
      <c r="BJ44" s="398"/>
      <c r="BK44" s="398"/>
      <c r="BL44" s="398"/>
      <c r="BM44" s="398"/>
      <c r="BN44" s="398">
        <v>4</v>
      </c>
      <c r="BO44" s="398">
        <v>2</v>
      </c>
    </row>
    <row r="45" spans="1:67">
      <c r="A45" s="42">
        <v>44405</v>
      </c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>
        <v>6</v>
      </c>
      <c r="S45" s="398">
        <v>5</v>
      </c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398"/>
      <c r="AQ45" s="398"/>
      <c r="AR45" s="398"/>
      <c r="AS45" s="398"/>
      <c r="AT45" s="398"/>
      <c r="AU45" s="398"/>
      <c r="AV45" s="398"/>
      <c r="AW45" s="398"/>
      <c r="AX45" s="398"/>
      <c r="AY45" s="398"/>
      <c r="AZ45" s="398"/>
      <c r="BA45" s="398"/>
      <c r="BB45" s="398"/>
      <c r="BC45" s="398"/>
      <c r="BD45" s="398"/>
      <c r="BE45" s="398"/>
      <c r="BF45" s="398"/>
      <c r="BG45" s="398"/>
      <c r="BH45" s="398"/>
      <c r="BI45" s="398"/>
      <c r="BJ45" s="398"/>
      <c r="BK45" s="398"/>
      <c r="BL45" s="398"/>
      <c r="BM45" s="398"/>
      <c r="BN45" s="398">
        <v>6</v>
      </c>
      <c r="BO45" s="398">
        <v>5</v>
      </c>
    </row>
    <row r="46" spans="1:67">
      <c r="A46" s="42">
        <v>44431</v>
      </c>
      <c r="B46" s="398"/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>
        <v>2</v>
      </c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398"/>
      <c r="AQ46" s="398"/>
      <c r="AR46" s="398"/>
      <c r="AS46" s="398"/>
      <c r="AT46" s="398"/>
      <c r="AU46" s="398"/>
      <c r="AV46" s="398"/>
      <c r="AW46" s="398"/>
      <c r="AX46" s="398"/>
      <c r="AY46" s="398"/>
      <c r="AZ46" s="398"/>
      <c r="BA46" s="398"/>
      <c r="BB46" s="398"/>
      <c r="BC46" s="398"/>
      <c r="BD46" s="398"/>
      <c r="BE46" s="398"/>
      <c r="BF46" s="398"/>
      <c r="BG46" s="398"/>
      <c r="BH46" s="398"/>
      <c r="BI46" s="398"/>
      <c r="BJ46" s="398"/>
      <c r="BK46" s="398"/>
      <c r="BL46" s="398"/>
      <c r="BM46" s="398"/>
      <c r="BN46" s="398">
        <v>2</v>
      </c>
      <c r="BO46" s="398"/>
    </row>
    <row r="47" spans="1:67">
      <c r="A47" s="42">
        <v>44432</v>
      </c>
      <c r="B47" s="398"/>
      <c r="C47" s="398"/>
      <c r="D47" s="398"/>
      <c r="E47" s="398"/>
      <c r="F47" s="398">
        <v>1</v>
      </c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>
        <v>1</v>
      </c>
      <c r="W47" s="398"/>
      <c r="X47" s="398">
        <v>1</v>
      </c>
      <c r="Y47" s="398">
        <v>1</v>
      </c>
      <c r="Z47" s="398">
        <v>3</v>
      </c>
      <c r="AA47" s="398">
        <v>1</v>
      </c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398"/>
      <c r="AQ47" s="398"/>
      <c r="AR47" s="398"/>
      <c r="AS47" s="398"/>
      <c r="AT47" s="398"/>
      <c r="AU47" s="398"/>
      <c r="AV47" s="398"/>
      <c r="AW47" s="398"/>
      <c r="AX47" s="398"/>
      <c r="AY47" s="398"/>
      <c r="AZ47" s="398"/>
      <c r="BA47" s="398"/>
      <c r="BB47" s="398"/>
      <c r="BC47" s="398"/>
      <c r="BD47" s="398"/>
      <c r="BE47" s="398"/>
      <c r="BF47" s="398"/>
      <c r="BG47" s="398"/>
      <c r="BH47" s="398"/>
      <c r="BI47" s="398"/>
      <c r="BJ47" s="398"/>
      <c r="BK47" s="398"/>
      <c r="BL47" s="398"/>
      <c r="BM47" s="398"/>
      <c r="BN47" s="398">
        <v>6</v>
      </c>
      <c r="BO47" s="398">
        <v>2</v>
      </c>
    </row>
    <row r="48" spans="1:67">
      <c r="A48" s="42">
        <v>44433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>
        <v>1</v>
      </c>
      <c r="AC48" s="398"/>
      <c r="AD48" s="398">
        <v>1</v>
      </c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398"/>
      <c r="AQ48" s="398"/>
      <c r="AR48" s="398"/>
      <c r="AS48" s="398"/>
      <c r="AT48" s="398"/>
      <c r="AU48" s="398"/>
      <c r="AV48" s="398"/>
      <c r="AW48" s="398"/>
      <c r="AX48" s="398"/>
      <c r="AY48" s="398"/>
      <c r="AZ48" s="398"/>
      <c r="BA48" s="398"/>
      <c r="BB48" s="398"/>
      <c r="BC48" s="398"/>
      <c r="BD48" s="398"/>
      <c r="BE48" s="398"/>
      <c r="BF48" s="398"/>
      <c r="BG48" s="398"/>
      <c r="BH48" s="398"/>
      <c r="BI48" s="398"/>
      <c r="BJ48" s="398"/>
      <c r="BK48" s="398"/>
      <c r="BL48" s="398"/>
      <c r="BM48" s="398"/>
      <c r="BN48" s="398">
        <v>2</v>
      </c>
      <c r="BO48" s="398"/>
    </row>
    <row r="49" spans="1:67">
      <c r="A49" s="42">
        <v>44438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/>
      <c r="Y49" s="398"/>
      <c r="Z49" s="398"/>
      <c r="AA49" s="398"/>
      <c r="AB49" s="398">
        <v>3</v>
      </c>
      <c r="AC49" s="398">
        <v>2</v>
      </c>
      <c r="AD49" s="398">
        <v>1</v>
      </c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398"/>
      <c r="AQ49" s="398"/>
      <c r="AR49" s="398"/>
      <c r="AS49" s="398"/>
      <c r="AT49" s="398"/>
      <c r="AU49" s="398"/>
      <c r="AV49" s="398"/>
      <c r="AW49" s="398"/>
      <c r="AX49" s="398"/>
      <c r="AY49" s="398"/>
      <c r="AZ49" s="398"/>
      <c r="BA49" s="398"/>
      <c r="BB49" s="398"/>
      <c r="BC49" s="398"/>
      <c r="BD49" s="398"/>
      <c r="BE49" s="398"/>
      <c r="BF49" s="398"/>
      <c r="BG49" s="398"/>
      <c r="BH49" s="398"/>
      <c r="BI49" s="398"/>
      <c r="BJ49" s="398"/>
      <c r="BK49" s="398"/>
      <c r="BL49" s="398"/>
      <c r="BM49" s="398"/>
      <c r="BN49" s="398">
        <v>4</v>
      </c>
      <c r="BO49" s="398">
        <v>2</v>
      </c>
    </row>
    <row r="50" spans="1:67">
      <c r="A50" s="42">
        <v>44439</v>
      </c>
      <c r="B50" s="398"/>
      <c r="C50" s="398"/>
      <c r="D50" s="398"/>
      <c r="E50" s="398"/>
      <c r="F50" s="398"/>
      <c r="G50" s="398"/>
      <c r="H50" s="398"/>
      <c r="I50" s="398"/>
      <c r="J50" s="398"/>
      <c r="K50" s="398"/>
      <c r="L50" s="398"/>
      <c r="M50" s="398"/>
      <c r="N50" s="398"/>
      <c r="O50" s="398"/>
      <c r="P50" s="398"/>
      <c r="Q50" s="398"/>
      <c r="R50" s="398"/>
      <c r="S50" s="398"/>
      <c r="T50" s="398"/>
      <c r="U50" s="398"/>
      <c r="V50" s="398"/>
      <c r="W50" s="398"/>
      <c r="X50" s="398"/>
      <c r="Y50" s="398"/>
      <c r="Z50" s="398"/>
      <c r="AA50" s="398"/>
      <c r="AB50" s="398">
        <v>1</v>
      </c>
      <c r="AC50" s="398">
        <v>1</v>
      </c>
      <c r="AD50" s="398">
        <v>1</v>
      </c>
      <c r="AE50" s="398">
        <v>1</v>
      </c>
      <c r="AF50" s="398"/>
      <c r="AG50" s="398"/>
      <c r="AH50" s="398"/>
      <c r="AI50" s="398"/>
      <c r="AJ50" s="398"/>
      <c r="AK50" s="398"/>
      <c r="AL50" s="398"/>
      <c r="AM50" s="398"/>
      <c r="AN50" s="398"/>
      <c r="AO50" s="398"/>
      <c r="AP50" s="398"/>
      <c r="AQ50" s="398"/>
      <c r="AR50" s="398"/>
      <c r="AS50" s="398"/>
      <c r="AT50" s="398"/>
      <c r="AU50" s="398"/>
      <c r="AV50" s="398"/>
      <c r="AW50" s="398"/>
      <c r="AX50" s="398"/>
      <c r="AY50" s="398"/>
      <c r="AZ50" s="398"/>
      <c r="BA50" s="398"/>
      <c r="BB50" s="398"/>
      <c r="BC50" s="398"/>
      <c r="BD50" s="398"/>
      <c r="BE50" s="398"/>
      <c r="BF50" s="398"/>
      <c r="BG50" s="398"/>
      <c r="BH50" s="398"/>
      <c r="BI50" s="398"/>
      <c r="BJ50" s="398"/>
      <c r="BK50" s="398"/>
      <c r="BL50" s="398"/>
      <c r="BM50" s="398"/>
      <c r="BN50" s="398">
        <v>2</v>
      </c>
      <c r="BO50" s="398">
        <v>2</v>
      </c>
    </row>
    <row r="51" spans="1:67">
      <c r="A51" s="42">
        <v>44452</v>
      </c>
      <c r="B51" s="398"/>
      <c r="C51" s="398"/>
      <c r="D51" s="398"/>
      <c r="E51" s="398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>
        <v>2</v>
      </c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398"/>
      <c r="AQ51" s="398"/>
      <c r="AR51" s="398"/>
      <c r="AS51" s="398"/>
      <c r="AT51" s="398"/>
      <c r="AU51" s="398"/>
      <c r="AV51" s="398"/>
      <c r="AW51" s="398"/>
      <c r="AX51" s="398"/>
      <c r="AY51" s="398"/>
      <c r="AZ51" s="398"/>
      <c r="BA51" s="398"/>
      <c r="BB51" s="398"/>
      <c r="BC51" s="398"/>
      <c r="BD51" s="398"/>
      <c r="BE51" s="398"/>
      <c r="BF51" s="398"/>
      <c r="BG51" s="398"/>
      <c r="BH51" s="398"/>
      <c r="BI51" s="398"/>
      <c r="BJ51" s="398"/>
      <c r="BK51" s="398"/>
      <c r="BL51" s="398"/>
      <c r="BM51" s="398"/>
      <c r="BN51" s="398">
        <v>2</v>
      </c>
      <c r="BO51" s="398"/>
    </row>
    <row r="52" spans="1:67">
      <c r="A52" s="42">
        <v>44455</v>
      </c>
      <c r="B52" s="398"/>
      <c r="C52" s="398"/>
      <c r="D52" s="398"/>
      <c r="E52" s="398"/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>
        <v>3</v>
      </c>
      <c r="AG52" s="398">
        <v>2</v>
      </c>
      <c r="AH52" s="398">
        <v>1</v>
      </c>
      <c r="AI52" s="398"/>
      <c r="AJ52" s="398"/>
      <c r="AK52" s="398"/>
      <c r="AL52" s="398"/>
      <c r="AM52" s="398"/>
      <c r="AN52" s="398"/>
      <c r="AO52" s="398"/>
      <c r="AP52" s="398"/>
      <c r="AQ52" s="398"/>
      <c r="AR52" s="398"/>
      <c r="AS52" s="398"/>
      <c r="AT52" s="398"/>
      <c r="AU52" s="398"/>
      <c r="AV52" s="398"/>
      <c r="AW52" s="398"/>
      <c r="AX52" s="398"/>
      <c r="AY52" s="398"/>
      <c r="AZ52" s="398"/>
      <c r="BA52" s="398"/>
      <c r="BB52" s="398"/>
      <c r="BC52" s="398"/>
      <c r="BD52" s="398"/>
      <c r="BE52" s="398"/>
      <c r="BF52" s="398"/>
      <c r="BG52" s="398"/>
      <c r="BH52" s="398"/>
      <c r="BI52" s="398"/>
      <c r="BJ52" s="398"/>
      <c r="BK52" s="398"/>
      <c r="BL52" s="398"/>
      <c r="BM52" s="398"/>
      <c r="BN52" s="398">
        <v>4</v>
      </c>
      <c r="BO52" s="398">
        <v>2</v>
      </c>
    </row>
    <row r="53" spans="1:67">
      <c r="A53" s="42">
        <v>44462</v>
      </c>
      <c r="B53" s="398"/>
      <c r="C53" s="398"/>
      <c r="D53" s="398"/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>
        <v>1</v>
      </c>
      <c r="AK53" s="398">
        <v>1</v>
      </c>
      <c r="AL53" s="398"/>
      <c r="AM53" s="398"/>
      <c r="AN53" s="398"/>
      <c r="AO53" s="398"/>
      <c r="AP53" s="398"/>
      <c r="AQ53" s="398"/>
      <c r="AR53" s="398"/>
      <c r="AS53" s="398"/>
      <c r="AT53" s="398"/>
      <c r="AU53" s="398"/>
      <c r="AV53" s="398"/>
      <c r="AW53" s="398"/>
      <c r="AX53" s="398"/>
      <c r="AY53" s="398"/>
      <c r="AZ53" s="398"/>
      <c r="BA53" s="398"/>
      <c r="BB53" s="398"/>
      <c r="BC53" s="398"/>
      <c r="BD53" s="398"/>
      <c r="BE53" s="398"/>
      <c r="BF53" s="398"/>
      <c r="BG53" s="398"/>
      <c r="BH53" s="398"/>
      <c r="BI53" s="398"/>
      <c r="BJ53" s="398"/>
      <c r="BK53" s="398"/>
      <c r="BL53" s="398"/>
      <c r="BM53" s="398"/>
      <c r="BN53" s="398">
        <v>1</v>
      </c>
      <c r="BO53" s="398">
        <v>1</v>
      </c>
    </row>
    <row r="54" spans="1:67">
      <c r="A54" s="42">
        <v>44463</v>
      </c>
      <c r="B54" s="398"/>
      <c r="C54" s="398"/>
      <c r="D54" s="398"/>
      <c r="E54" s="398"/>
      <c r="F54" s="398"/>
      <c r="G54" s="398"/>
      <c r="H54" s="398"/>
      <c r="I54" s="398"/>
      <c r="J54" s="398"/>
      <c r="K54" s="398"/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398"/>
      <c r="X54" s="398"/>
      <c r="Y54" s="398"/>
      <c r="Z54" s="398"/>
      <c r="AA54" s="398"/>
      <c r="AB54" s="398"/>
      <c r="AC54" s="398"/>
      <c r="AD54" s="398">
        <v>2</v>
      </c>
      <c r="AE54" s="398">
        <v>2</v>
      </c>
      <c r="AF54" s="398"/>
      <c r="AG54" s="398"/>
      <c r="AH54" s="398"/>
      <c r="AI54" s="398"/>
      <c r="AJ54" s="398"/>
      <c r="AK54" s="398"/>
      <c r="AL54" s="398"/>
      <c r="AM54" s="398"/>
      <c r="AN54" s="398"/>
      <c r="AO54" s="398"/>
      <c r="AP54" s="398"/>
      <c r="AQ54" s="398"/>
      <c r="AR54" s="398"/>
      <c r="AS54" s="398"/>
      <c r="AT54" s="398"/>
      <c r="AU54" s="398"/>
      <c r="AV54" s="398"/>
      <c r="AW54" s="398"/>
      <c r="AX54" s="398"/>
      <c r="AY54" s="398"/>
      <c r="AZ54" s="398"/>
      <c r="BA54" s="398"/>
      <c r="BB54" s="398"/>
      <c r="BC54" s="398"/>
      <c r="BD54" s="398"/>
      <c r="BE54" s="398"/>
      <c r="BF54" s="398"/>
      <c r="BG54" s="398"/>
      <c r="BH54" s="398"/>
      <c r="BI54" s="398"/>
      <c r="BJ54" s="398"/>
      <c r="BK54" s="398"/>
      <c r="BL54" s="398"/>
      <c r="BM54" s="398"/>
      <c r="BN54" s="398">
        <v>2</v>
      </c>
      <c r="BO54" s="398">
        <v>2</v>
      </c>
    </row>
    <row r="55" spans="1:67">
      <c r="A55" s="42">
        <v>44467</v>
      </c>
      <c r="B55" s="398"/>
      <c r="C55" s="398"/>
      <c r="D55" s="398"/>
      <c r="E55" s="398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>
        <v>1</v>
      </c>
      <c r="AM55" s="398"/>
      <c r="AN55" s="398"/>
      <c r="AO55" s="398"/>
      <c r="AP55" s="398"/>
      <c r="AQ55" s="398"/>
      <c r="AR55" s="398"/>
      <c r="AS55" s="398"/>
      <c r="AT55" s="398"/>
      <c r="AU55" s="398"/>
      <c r="AV55" s="398"/>
      <c r="AW55" s="398"/>
      <c r="AX55" s="398"/>
      <c r="AY55" s="398"/>
      <c r="AZ55" s="398"/>
      <c r="BA55" s="398"/>
      <c r="BB55" s="398"/>
      <c r="BC55" s="398"/>
      <c r="BD55" s="398"/>
      <c r="BE55" s="398"/>
      <c r="BF55" s="398"/>
      <c r="BG55" s="398"/>
      <c r="BH55" s="398"/>
      <c r="BI55" s="398"/>
      <c r="BJ55" s="398"/>
      <c r="BK55" s="398"/>
      <c r="BL55" s="398"/>
      <c r="BM55" s="398"/>
      <c r="BN55" s="398">
        <v>1</v>
      </c>
      <c r="BO55" s="398"/>
    </row>
    <row r="56" spans="1:67">
      <c r="A56" s="42">
        <v>44468</v>
      </c>
      <c r="B56" s="398"/>
      <c r="C56" s="398"/>
      <c r="D56" s="398"/>
      <c r="E56" s="398"/>
      <c r="F56" s="398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>
        <v>1</v>
      </c>
      <c r="AO56" s="398"/>
      <c r="AP56" s="398"/>
      <c r="AQ56" s="398"/>
      <c r="AR56" s="398"/>
      <c r="AS56" s="398"/>
      <c r="AT56" s="398"/>
      <c r="AU56" s="398"/>
      <c r="AV56" s="398"/>
      <c r="AW56" s="398"/>
      <c r="AX56" s="398"/>
      <c r="AY56" s="398"/>
      <c r="AZ56" s="398"/>
      <c r="BA56" s="398"/>
      <c r="BB56" s="398"/>
      <c r="BC56" s="398"/>
      <c r="BD56" s="398"/>
      <c r="BE56" s="398"/>
      <c r="BF56" s="398"/>
      <c r="BG56" s="398"/>
      <c r="BH56" s="398"/>
      <c r="BI56" s="398"/>
      <c r="BJ56" s="398"/>
      <c r="BK56" s="398"/>
      <c r="BL56" s="398"/>
      <c r="BM56" s="398"/>
      <c r="BN56" s="398">
        <v>1</v>
      </c>
      <c r="BO56" s="398"/>
    </row>
    <row r="57" spans="1:67">
      <c r="A57" s="42">
        <v>44481</v>
      </c>
      <c r="B57" s="398"/>
      <c r="C57" s="398"/>
      <c r="D57" s="398"/>
      <c r="E57" s="398"/>
      <c r="F57" s="398"/>
      <c r="G57" s="398"/>
      <c r="H57" s="398"/>
      <c r="I57" s="398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8"/>
      <c r="AP57" s="398">
        <v>1</v>
      </c>
      <c r="AQ57" s="398">
        <v>1</v>
      </c>
      <c r="AR57" s="398"/>
      <c r="AS57" s="398"/>
      <c r="AT57" s="398"/>
      <c r="AU57" s="398"/>
      <c r="AV57" s="398"/>
      <c r="AW57" s="398"/>
      <c r="AX57" s="398"/>
      <c r="AY57" s="398"/>
      <c r="AZ57" s="398"/>
      <c r="BA57" s="398"/>
      <c r="BB57" s="398"/>
      <c r="BC57" s="398"/>
      <c r="BD57" s="398"/>
      <c r="BE57" s="398"/>
      <c r="BF57" s="398"/>
      <c r="BG57" s="398"/>
      <c r="BH57" s="398"/>
      <c r="BI57" s="398"/>
      <c r="BJ57" s="398"/>
      <c r="BK57" s="398"/>
      <c r="BL57" s="398"/>
      <c r="BM57" s="398"/>
      <c r="BN57" s="398">
        <v>1</v>
      </c>
      <c r="BO57" s="398">
        <v>1</v>
      </c>
    </row>
    <row r="58" spans="1:67">
      <c r="A58" s="42">
        <v>44484</v>
      </c>
      <c r="B58" s="398"/>
      <c r="C58" s="398"/>
      <c r="D58" s="398"/>
      <c r="E58" s="398"/>
      <c r="F58" s="398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8"/>
      <c r="AP58" s="398"/>
      <c r="AQ58" s="398"/>
      <c r="AR58" s="398">
        <v>1</v>
      </c>
      <c r="AS58" s="398"/>
      <c r="AT58" s="398"/>
      <c r="AU58" s="398"/>
      <c r="AV58" s="398"/>
      <c r="AW58" s="398"/>
      <c r="AX58" s="398"/>
      <c r="AY58" s="398"/>
      <c r="AZ58" s="398"/>
      <c r="BA58" s="398"/>
      <c r="BB58" s="398"/>
      <c r="BC58" s="398"/>
      <c r="BD58" s="398"/>
      <c r="BE58" s="398"/>
      <c r="BF58" s="398"/>
      <c r="BG58" s="398"/>
      <c r="BH58" s="398"/>
      <c r="BI58" s="398"/>
      <c r="BJ58" s="398"/>
      <c r="BK58" s="398"/>
      <c r="BL58" s="398"/>
      <c r="BM58" s="398"/>
      <c r="BN58" s="398">
        <v>1</v>
      </c>
      <c r="BO58" s="398"/>
    </row>
    <row r="59" spans="1:67">
      <c r="A59" s="42">
        <v>44487</v>
      </c>
      <c r="B59" s="398"/>
      <c r="C59" s="398"/>
      <c r="D59" s="398"/>
      <c r="E59" s="398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8"/>
      <c r="AP59" s="398">
        <v>1</v>
      </c>
      <c r="AQ59" s="398">
        <v>1</v>
      </c>
      <c r="AR59" s="398"/>
      <c r="AS59" s="398"/>
      <c r="AT59" s="398"/>
      <c r="AU59" s="398"/>
      <c r="AV59" s="398"/>
      <c r="AW59" s="398"/>
      <c r="AX59" s="398"/>
      <c r="AY59" s="398"/>
      <c r="AZ59" s="398"/>
      <c r="BA59" s="398"/>
      <c r="BB59" s="398"/>
      <c r="BC59" s="398"/>
      <c r="BD59" s="398"/>
      <c r="BE59" s="398"/>
      <c r="BF59" s="398"/>
      <c r="BG59" s="398"/>
      <c r="BH59" s="398"/>
      <c r="BI59" s="398"/>
      <c r="BJ59" s="398"/>
      <c r="BK59" s="398"/>
      <c r="BL59" s="398"/>
      <c r="BM59" s="398"/>
      <c r="BN59" s="398">
        <v>1</v>
      </c>
      <c r="BO59" s="398">
        <v>1</v>
      </c>
    </row>
    <row r="60" spans="1:67">
      <c r="A60" s="42">
        <v>44488</v>
      </c>
      <c r="B60" s="398"/>
      <c r="C60" s="398"/>
      <c r="D60" s="398"/>
      <c r="E60" s="398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8"/>
      <c r="AP60" s="398"/>
      <c r="AQ60" s="398"/>
      <c r="AR60" s="398"/>
      <c r="AS60" s="398"/>
      <c r="AT60" s="398">
        <v>4</v>
      </c>
      <c r="AU60" s="398">
        <v>4</v>
      </c>
      <c r="AV60" s="398">
        <v>1</v>
      </c>
      <c r="AW60" s="398"/>
      <c r="AX60" s="398">
        <v>1</v>
      </c>
      <c r="AY60" s="398">
        <v>1</v>
      </c>
      <c r="AZ60" s="398"/>
      <c r="BA60" s="398"/>
      <c r="BB60" s="398"/>
      <c r="BC60" s="398"/>
      <c r="BD60" s="398"/>
      <c r="BE60" s="398"/>
      <c r="BF60" s="398"/>
      <c r="BG60" s="398"/>
      <c r="BH60" s="398"/>
      <c r="BI60" s="398"/>
      <c r="BJ60" s="398"/>
      <c r="BK60" s="398"/>
      <c r="BL60" s="398"/>
      <c r="BM60" s="398"/>
      <c r="BN60" s="398">
        <v>6</v>
      </c>
      <c r="BO60" s="398">
        <v>5</v>
      </c>
    </row>
    <row r="61" spans="1:67">
      <c r="A61" s="42">
        <v>44490</v>
      </c>
      <c r="B61" s="398"/>
      <c r="C61" s="398"/>
      <c r="D61" s="398"/>
      <c r="E61" s="398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8"/>
      <c r="AP61" s="398"/>
      <c r="AQ61" s="398"/>
      <c r="AR61" s="398">
        <v>1</v>
      </c>
      <c r="AS61" s="398"/>
      <c r="AT61" s="398"/>
      <c r="AU61" s="398"/>
      <c r="AV61" s="398"/>
      <c r="AW61" s="398"/>
      <c r="AX61" s="398"/>
      <c r="AY61" s="398"/>
      <c r="AZ61" s="398"/>
      <c r="BA61" s="398"/>
      <c r="BB61" s="398"/>
      <c r="BC61" s="398"/>
      <c r="BD61" s="398"/>
      <c r="BE61" s="398"/>
      <c r="BF61" s="398"/>
      <c r="BG61" s="398"/>
      <c r="BH61" s="398"/>
      <c r="BI61" s="398"/>
      <c r="BJ61" s="398"/>
      <c r="BK61" s="398"/>
      <c r="BL61" s="398"/>
      <c r="BM61" s="398"/>
      <c r="BN61" s="398">
        <v>1</v>
      </c>
      <c r="BO61" s="398"/>
    </row>
    <row r="62" spans="1:67">
      <c r="A62" s="42">
        <v>44496</v>
      </c>
      <c r="B62" s="398"/>
      <c r="C62" s="398"/>
      <c r="D62" s="398"/>
      <c r="E62" s="398"/>
      <c r="F62" s="398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8"/>
      <c r="AP62" s="398"/>
      <c r="AQ62" s="398"/>
      <c r="AR62" s="398"/>
      <c r="AS62" s="398"/>
      <c r="AT62" s="398"/>
      <c r="AU62" s="398"/>
      <c r="AV62" s="398"/>
      <c r="AW62" s="398"/>
      <c r="AX62" s="398"/>
      <c r="AY62" s="398"/>
      <c r="AZ62" s="398">
        <v>2</v>
      </c>
      <c r="BA62" s="398"/>
      <c r="BB62" s="398"/>
      <c r="BC62" s="398"/>
      <c r="BD62" s="398"/>
      <c r="BE62" s="398"/>
      <c r="BF62" s="398"/>
      <c r="BG62" s="398"/>
      <c r="BH62" s="398"/>
      <c r="BI62" s="398"/>
      <c r="BJ62" s="398"/>
      <c r="BK62" s="398"/>
      <c r="BL62" s="398"/>
      <c r="BM62" s="398"/>
      <c r="BN62" s="398">
        <v>2</v>
      </c>
      <c r="BO62" s="398"/>
    </row>
    <row r="63" spans="1:67">
      <c r="A63" s="42">
        <v>44491</v>
      </c>
      <c r="B63" s="398"/>
      <c r="C63" s="398"/>
      <c r="D63" s="398"/>
      <c r="E63" s="398"/>
      <c r="F63" s="398"/>
      <c r="G63" s="398"/>
      <c r="H63" s="398"/>
      <c r="I63" s="398"/>
      <c r="J63" s="398"/>
      <c r="K63" s="398"/>
      <c r="L63" s="398"/>
      <c r="M63" s="398"/>
      <c r="N63" s="398"/>
      <c r="O63" s="398"/>
      <c r="P63" s="398"/>
      <c r="Q63" s="398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398"/>
      <c r="AC63" s="398"/>
      <c r="AD63" s="398"/>
      <c r="AE63" s="398"/>
      <c r="AF63" s="398"/>
      <c r="AG63" s="398"/>
      <c r="AH63" s="398"/>
      <c r="AI63" s="398"/>
      <c r="AJ63" s="398"/>
      <c r="AK63" s="398"/>
      <c r="AL63" s="398"/>
      <c r="AM63" s="398"/>
      <c r="AN63" s="398"/>
      <c r="AO63" s="398"/>
      <c r="AP63" s="398"/>
      <c r="AQ63" s="398"/>
      <c r="AR63" s="398">
        <v>1</v>
      </c>
      <c r="AS63" s="398"/>
      <c r="AT63" s="398"/>
      <c r="AU63" s="398"/>
      <c r="AV63" s="398"/>
      <c r="AW63" s="398"/>
      <c r="AX63" s="398"/>
      <c r="AY63" s="398"/>
      <c r="AZ63" s="398"/>
      <c r="BA63" s="398"/>
      <c r="BB63" s="398">
        <v>1</v>
      </c>
      <c r="BC63" s="398"/>
      <c r="BD63" s="398"/>
      <c r="BE63" s="398"/>
      <c r="BF63" s="398"/>
      <c r="BG63" s="398"/>
      <c r="BH63" s="398"/>
      <c r="BI63" s="398"/>
      <c r="BJ63" s="398"/>
      <c r="BK63" s="398"/>
      <c r="BL63" s="398"/>
      <c r="BM63" s="398"/>
      <c r="BN63" s="398">
        <v>2</v>
      </c>
      <c r="BO63" s="398"/>
    </row>
    <row r="64" spans="1:67">
      <c r="A64" s="42">
        <v>44494</v>
      </c>
      <c r="B64" s="398"/>
      <c r="C64" s="398"/>
      <c r="D64" s="398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8"/>
      <c r="AP64" s="398"/>
      <c r="AQ64" s="398"/>
      <c r="AR64" s="398">
        <v>1</v>
      </c>
      <c r="AS64" s="398"/>
      <c r="AT64" s="398"/>
      <c r="AU64" s="398"/>
      <c r="AV64" s="398"/>
      <c r="AW64" s="398"/>
      <c r="AX64" s="398"/>
      <c r="AY64" s="398"/>
      <c r="AZ64" s="398"/>
      <c r="BA64" s="398"/>
      <c r="BB64" s="398"/>
      <c r="BC64" s="398"/>
      <c r="BD64" s="398">
        <v>1</v>
      </c>
      <c r="BE64" s="398"/>
      <c r="BF64" s="398">
        <v>1</v>
      </c>
      <c r="BG64" s="398"/>
      <c r="BH64" s="398"/>
      <c r="BI64" s="398"/>
      <c r="BJ64" s="398"/>
      <c r="BK64" s="398"/>
      <c r="BL64" s="398"/>
      <c r="BM64" s="398"/>
      <c r="BN64" s="398">
        <v>3</v>
      </c>
      <c r="BO64" s="398"/>
    </row>
    <row r="65" spans="1:67">
      <c r="A65" s="42">
        <v>44503</v>
      </c>
      <c r="B65" s="398"/>
      <c r="C65" s="398"/>
      <c r="D65" s="398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8"/>
      <c r="AP65" s="398"/>
      <c r="AQ65" s="398"/>
      <c r="AR65" s="398"/>
      <c r="AS65" s="398"/>
      <c r="AT65" s="398"/>
      <c r="AU65" s="398"/>
      <c r="AV65" s="398"/>
      <c r="AW65" s="398"/>
      <c r="AX65" s="398"/>
      <c r="AY65" s="398"/>
      <c r="AZ65" s="398"/>
      <c r="BA65" s="398"/>
      <c r="BB65" s="398"/>
      <c r="BC65" s="398"/>
      <c r="BD65" s="398"/>
      <c r="BE65" s="398"/>
      <c r="BF65" s="398"/>
      <c r="BG65" s="398"/>
      <c r="BH65" s="398">
        <v>2</v>
      </c>
      <c r="BI65" s="398"/>
      <c r="BJ65" s="398"/>
      <c r="BK65" s="398"/>
      <c r="BL65" s="398"/>
      <c r="BM65" s="398"/>
      <c r="BN65" s="398">
        <v>2</v>
      </c>
      <c r="BO65" s="398"/>
    </row>
    <row r="66" spans="1:67">
      <c r="A66" s="42">
        <v>44504</v>
      </c>
      <c r="B66" s="398"/>
      <c r="C66" s="398"/>
      <c r="D66" s="398"/>
      <c r="E66" s="398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8"/>
      <c r="AP66" s="398"/>
      <c r="AQ66" s="398"/>
      <c r="AR66" s="398"/>
      <c r="AS66" s="398"/>
      <c r="AT66" s="398"/>
      <c r="AU66" s="398"/>
      <c r="AV66" s="398"/>
      <c r="AW66" s="398"/>
      <c r="AX66" s="398"/>
      <c r="AY66" s="398"/>
      <c r="AZ66" s="398"/>
      <c r="BA66" s="398"/>
      <c r="BB66" s="398"/>
      <c r="BC66" s="398"/>
      <c r="BD66" s="398"/>
      <c r="BE66" s="398"/>
      <c r="BF66" s="398"/>
      <c r="BG66" s="398"/>
      <c r="BH66" s="398"/>
      <c r="BI66" s="398"/>
      <c r="BJ66" s="398">
        <v>1</v>
      </c>
      <c r="BK66" s="398"/>
      <c r="BL66" s="398">
        <v>1</v>
      </c>
      <c r="BM66" s="398"/>
      <c r="BN66" s="398">
        <v>2</v>
      </c>
      <c r="BO66" s="398"/>
    </row>
    <row r="67" spans="1:67">
      <c r="A67" s="42" t="s">
        <v>67</v>
      </c>
      <c r="B67" s="398">
        <v>1</v>
      </c>
      <c r="C67" s="398"/>
      <c r="D67" s="398">
        <v>6</v>
      </c>
      <c r="E67" s="398">
        <v>6</v>
      </c>
      <c r="F67" s="398">
        <v>5</v>
      </c>
      <c r="G67" s="398"/>
      <c r="H67" s="398">
        <v>1</v>
      </c>
      <c r="I67" s="398">
        <v>1</v>
      </c>
      <c r="J67" s="398">
        <v>2</v>
      </c>
      <c r="K67" s="398">
        <v>2</v>
      </c>
      <c r="L67" s="398">
        <v>10</v>
      </c>
      <c r="M67" s="398">
        <v>10</v>
      </c>
      <c r="N67" s="398">
        <v>1</v>
      </c>
      <c r="O67" s="398"/>
      <c r="P67" s="398">
        <v>3</v>
      </c>
      <c r="Q67" s="398">
        <v>3</v>
      </c>
      <c r="R67" s="398">
        <v>6</v>
      </c>
      <c r="S67" s="398">
        <v>5</v>
      </c>
      <c r="T67" s="398"/>
      <c r="U67" s="398"/>
      <c r="V67" s="398">
        <v>3</v>
      </c>
      <c r="W67" s="398"/>
      <c r="X67" s="398">
        <v>1</v>
      </c>
      <c r="Y67" s="398">
        <v>1</v>
      </c>
      <c r="Z67" s="398">
        <v>3</v>
      </c>
      <c r="AA67" s="398">
        <v>1</v>
      </c>
      <c r="AB67" s="398">
        <v>5</v>
      </c>
      <c r="AC67" s="398">
        <v>3</v>
      </c>
      <c r="AD67" s="398">
        <v>7</v>
      </c>
      <c r="AE67" s="398">
        <v>3</v>
      </c>
      <c r="AF67" s="398">
        <v>3</v>
      </c>
      <c r="AG67" s="398">
        <v>2</v>
      </c>
      <c r="AH67" s="398">
        <v>1</v>
      </c>
      <c r="AI67" s="398"/>
      <c r="AJ67" s="398">
        <v>1</v>
      </c>
      <c r="AK67" s="398">
        <v>1</v>
      </c>
      <c r="AL67" s="398">
        <v>1</v>
      </c>
      <c r="AM67" s="398"/>
      <c r="AN67" s="398">
        <v>1</v>
      </c>
      <c r="AO67" s="398"/>
      <c r="AP67" s="398">
        <v>2</v>
      </c>
      <c r="AQ67" s="398">
        <v>2</v>
      </c>
      <c r="AR67" s="398">
        <v>4</v>
      </c>
      <c r="AS67" s="398"/>
      <c r="AT67" s="398">
        <v>4</v>
      </c>
      <c r="AU67" s="398">
        <v>4</v>
      </c>
      <c r="AV67" s="398">
        <v>1</v>
      </c>
      <c r="AW67" s="398"/>
      <c r="AX67" s="398">
        <v>1</v>
      </c>
      <c r="AY67" s="398">
        <v>1</v>
      </c>
      <c r="AZ67" s="398">
        <v>2</v>
      </c>
      <c r="BA67" s="398"/>
      <c r="BB67" s="398">
        <v>1</v>
      </c>
      <c r="BC67" s="398"/>
      <c r="BD67" s="398">
        <v>1</v>
      </c>
      <c r="BE67" s="398"/>
      <c r="BF67" s="398">
        <v>1</v>
      </c>
      <c r="BG67" s="398"/>
      <c r="BH67" s="398">
        <v>2</v>
      </c>
      <c r="BI67" s="398"/>
      <c r="BJ67" s="398">
        <v>1</v>
      </c>
      <c r="BK67" s="398"/>
      <c r="BL67" s="398">
        <v>1</v>
      </c>
      <c r="BM67" s="398"/>
      <c r="BN67" s="398">
        <v>82</v>
      </c>
      <c r="BO67" s="398">
        <v>45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5"/>
  <cols>
    <col min="9" max="9" width="8.75" style="300" customWidth="1"/>
    <col min="15" max="15" width="10.75" style="285" bestFit="1" customWidth="1"/>
  </cols>
  <sheetData>
    <row r="1" spans="4:15">
      <c r="D1" t="s">
        <v>2309</v>
      </c>
      <c r="I1" t="s">
        <v>2309</v>
      </c>
      <c r="N1" t="s">
        <v>2310</v>
      </c>
    </row>
    <row r="2" spans="4:15">
      <c r="D2" t="s">
        <v>2311</v>
      </c>
      <c r="I2" t="s">
        <v>2311</v>
      </c>
      <c r="N2" t="s">
        <v>201</v>
      </c>
      <c r="O2" s="285">
        <v>44508</v>
      </c>
    </row>
    <row r="3" spans="4:15">
      <c r="N3" t="s">
        <v>207</v>
      </c>
      <c r="O3" s="285">
        <v>44508</v>
      </c>
    </row>
    <row r="4" spans="4:15">
      <c r="D4" t="s">
        <v>2310</v>
      </c>
      <c r="I4" t="s">
        <v>2310</v>
      </c>
    </row>
    <row r="5" spans="4:15">
      <c r="N5" t="s">
        <v>2312</v>
      </c>
    </row>
    <row r="6" spans="4:15">
      <c r="D6" t="s">
        <v>2313</v>
      </c>
      <c r="I6" t="s">
        <v>2313</v>
      </c>
      <c r="N6" t="s">
        <v>211</v>
      </c>
      <c r="O6" s="285">
        <v>44508</v>
      </c>
    </row>
    <row r="7" spans="4:15">
      <c r="N7" t="s">
        <v>215</v>
      </c>
      <c r="O7" s="285">
        <v>44508</v>
      </c>
    </row>
    <row r="8" spans="4:15">
      <c r="D8" t="s">
        <v>2314</v>
      </c>
      <c r="I8" t="s">
        <v>201</v>
      </c>
      <c r="J8" t="s">
        <v>206</v>
      </c>
      <c r="N8" t="s">
        <v>227</v>
      </c>
      <c r="O8" s="285">
        <v>44508</v>
      </c>
    </row>
    <row r="9" spans="4:15">
      <c r="D9" t="s">
        <v>2315</v>
      </c>
      <c r="I9" t="s">
        <v>207</v>
      </c>
      <c r="J9" t="s">
        <v>208</v>
      </c>
      <c r="N9" t="s">
        <v>230</v>
      </c>
      <c r="O9" s="285">
        <v>44508</v>
      </c>
    </row>
    <row r="10" spans="4:15">
      <c r="N10" t="s">
        <v>258</v>
      </c>
      <c r="O10" s="285">
        <v>44508</v>
      </c>
    </row>
    <row r="11" spans="4:15">
      <c r="D11" t="s">
        <v>2312</v>
      </c>
      <c r="I11" t="s">
        <v>2312</v>
      </c>
      <c r="N11" t="s">
        <v>260</v>
      </c>
      <c r="O11" s="285">
        <v>44508</v>
      </c>
    </row>
    <row r="12" spans="4:15">
      <c r="N12" t="s">
        <v>264</v>
      </c>
      <c r="O12" s="285">
        <v>44508</v>
      </c>
    </row>
    <row r="13" spans="4:15">
      <c r="D13" t="s">
        <v>2316</v>
      </c>
      <c r="I13" t="s">
        <v>211</v>
      </c>
      <c r="J13" t="s">
        <v>214</v>
      </c>
      <c r="N13" t="s">
        <v>266</v>
      </c>
      <c r="O13" s="285">
        <v>44508</v>
      </c>
    </row>
    <row r="14" spans="4:15">
      <c r="D14" t="s">
        <v>2317</v>
      </c>
      <c r="I14" t="s">
        <v>215</v>
      </c>
      <c r="J14" t="s">
        <v>216</v>
      </c>
      <c r="N14" t="s">
        <v>867</v>
      </c>
      <c r="O14" s="285">
        <v>44508</v>
      </c>
    </row>
    <row r="15" spans="4:15">
      <c r="N15" t="s">
        <v>869</v>
      </c>
      <c r="O15" s="285">
        <v>44508</v>
      </c>
    </row>
    <row r="16" spans="4:15">
      <c r="D16" t="s">
        <v>2318</v>
      </c>
      <c r="I16" t="s">
        <v>227</v>
      </c>
      <c r="J16" t="s">
        <v>229</v>
      </c>
      <c r="N16" t="s">
        <v>777</v>
      </c>
      <c r="O16" s="285">
        <v>44508</v>
      </c>
    </row>
    <row r="17" spans="4:15">
      <c r="D17" t="s">
        <v>2319</v>
      </c>
      <c r="I17" t="s">
        <v>230</v>
      </c>
      <c r="J17" t="s">
        <v>232</v>
      </c>
      <c r="N17" t="s">
        <v>224</v>
      </c>
      <c r="O17" s="285">
        <v>44508</v>
      </c>
    </row>
    <row r="18" spans="4:15">
      <c r="N18" t="s">
        <v>252</v>
      </c>
      <c r="O18" s="285">
        <v>44508</v>
      </c>
    </row>
    <row r="19" spans="4:15">
      <c r="D19" t="s">
        <v>2320</v>
      </c>
      <c r="I19" t="s">
        <v>258</v>
      </c>
      <c r="J19" t="s">
        <v>259</v>
      </c>
      <c r="K19" t="s">
        <v>2321</v>
      </c>
      <c r="N19" t="s">
        <v>255</v>
      </c>
      <c r="O19" s="285">
        <v>44508</v>
      </c>
    </row>
    <row r="20" spans="4:15">
      <c r="D20" t="s">
        <v>2322</v>
      </c>
      <c r="I20" t="s">
        <v>260</v>
      </c>
      <c r="J20" t="s">
        <v>261</v>
      </c>
    </row>
    <row r="21" spans="4:15">
      <c r="N21" t="s">
        <v>2323</v>
      </c>
    </row>
    <row r="22" spans="4:15">
      <c r="D22" t="s">
        <v>2324</v>
      </c>
      <c r="I22" t="s">
        <v>264</v>
      </c>
      <c r="J22" t="s">
        <v>265</v>
      </c>
      <c r="K22" t="s">
        <v>2321</v>
      </c>
    </row>
    <row r="23" spans="4:15">
      <c r="D23" t="s">
        <v>2325</v>
      </c>
      <c r="I23" t="s">
        <v>266</v>
      </c>
      <c r="J23" t="s">
        <v>267</v>
      </c>
      <c r="N23" t="s">
        <v>2326</v>
      </c>
      <c r="O23" s="285">
        <v>44512</v>
      </c>
    </row>
    <row r="24" spans="4:15">
      <c r="N24" t="s">
        <v>237</v>
      </c>
      <c r="O24" s="285">
        <v>44512</v>
      </c>
    </row>
    <row r="25" spans="4:15">
      <c r="D25" t="s">
        <v>2327</v>
      </c>
      <c r="I25" t="s">
        <v>867</v>
      </c>
      <c r="J25" t="s">
        <v>868</v>
      </c>
      <c r="N25" t="s">
        <v>242</v>
      </c>
      <c r="O25" s="285">
        <v>44512</v>
      </c>
    </row>
    <row r="26" spans="4:15">
      <c r="N26" t="s">
        <v>270</v>
      </c>
      <c r="O26" s="285">
        <v>44512</v>
      </c>
    </row>
    <row r="27" spans="4:15">
      <c r="D27" t="s">
        <v>2328</v>
      </c>
      <c r="I27" t="s">
        <v>869</v>
      </c>
      <c r="J27" t="s">
        <v>870</v>
      </c>
      <c r="K27" t="s">
        <v>2329</v>
      </c>
      <c r="N27" t="s">
        <v>272</v>
      </c>
      <c r="O27" s="285">
        <v>44512</v>
      </c>
    </row>
    <row r="28" spans="4:15">
      <c r="N28" t="s">
        <v>857</v>
      </c>
      <c r="O28" s="285">
        <v>44512</v>
      </c>
    </row>
    <row r="29" spans="4:15">
      <c r="D29" t="s">
        <v>2330</v>
      </c>
      <c r="I29" t="s">
        <v>777</v>
      </c>
      <c r="J29" t="s">
        <v>778</v>
      </c>
      <c r="N29" t="s">
        <v>863</v>
      </c>
      <c r="O29" s="285">
        <v>44512</v>
      </c>
    </row>
    <row r="30" spans="4:15">
      <c r="N30" t="s">
        <v>244</v>
      </c>
      <c r="O30" s="285">
        <v>44512</v>
      </c>
    </row>
    <row r="31" spans="4:15">
      <c r="D31" t="s">
        <v>2331</v>
      </c>
      <c r="I31" t="s">
        <v>224</v>
      </c>
      <c r="J31" t="s">
        <v>226</v>
      </c>
      <c r="N31" t="s">
        <v>875</v>
      </c>
      <c r="O31" s="285">
        <v>44512</v>
      </c>
    </row>
    <row r="32" spans="4:15">
      <c r="N32" t="s">
        <v>2332</v>
      </c>
    </row>
    <row r="33" spans="4:15">
      <c r="D33" t="s">
        <v>2333</v>
      </c>
      <c r="I33" t="s">
        <v>252</v>
      </c>
      <c r="J33" t="s">
        <v>254</v>
      </c>
      <c r="N33" t="s">
        <v>299</v>
      </c>
      <c r="O33" s="285">
        <v>44512</v>
      </c>
    </row>
    <row r="34" spans="4:15">
      <c r="D34" t="s">
        <v>2334</v>
      </c>
      <c r="I34" t="s">
        <v>255</v>
      </c>
      <c r="J34" t="s">
        <v>257</v>
      </c>
      <c r="N34" t="s">
        <v>301</v>
      </c>
      <c r="O34" s="285">
        <v>44512</v>
      </c>
    </row>
    <row r="35" spans="4:15">
      <c r="N35" t="s">
        <v>275</v>
      </c>
      <c r="O35" s="285">
        <v>44512</v>
      </c>
    </row>
    <row r="36" spans="4:15">
      <c r="D36" t="s">
        <v>2323</v>
      </c>
      <c r="I36" t="s">
        <v>2323</v>
      </c>
      <c r="N36" t="s">
        <v>277</v>
      </c>
      <c r="O36" s="285">
        <v>44512</v>
      </c>
    </row>
    <row r="37" spans="4:15">
      <c r="N37" t="s">
        <v>303</v>
      </c>
      <c r="O37" s="285">
        <v>44512</v>
      </c>
    </row>
    <row r="38" spans="4:15">
      <c r="D38" t="s">
        <v>2326</v>
      </c>
      <c r="I38" t="s">
        <v>2326</v>
      </c>
      <c r="N38" t="s">
        <v>307</v>
      </c>
      <c r="O38" s="285">
        <v>44512</v>
      </c>
    </row>
    <row r="39" spans="4:15">
      <c r="N39" t="s">
        <v>312</v>
      </c>
      <c r="O39" s="285">
        <v>44512</v>
      </c>
    </row>
    <row r="40" spans="4:15">
      <c r="D40" t="s">
        <v>2335</v>
      </c>
      <c r="I40" t="s">
        <v>237</v>
      </c>
      <c r="J40" t="s">
        <v>241</v>
      </c>
      <c r="N40" t="s">
        <v>888</v>
      </c>
      <c r="O40" s="285">
        <v>44512</v>
      </c>
    </row>
    <row r="41" spans="4:15">
      <c r="D41" t="s">
        <v>2336</v>
      </c>
      <c r="I41" t="s">
        <v>242</v>
      </c>
      <c r="J41" t="s">
        <v>243</v>
      </c>
      <c r="N41" t="s">
        <v>891</v>
      </c>
      <c r="O41" s="285">
        <v>44512</v>
      </c>
    </row>
    <row r="42" spans="4:15">
      <c r="N42" t="s">
        <v>1400</v>
      </c>
      <c r="O42" s="285">
        <v>44512</v>
      </c>
    </row>
    <row r="43" spans="4:15">
      <c r="D43" t="s">
        <v>2337</v>
      </c>
      <c r="I43" t="s">
        <v>270</v>
      </c>
      <c r="J43" t="s">
        <v>271</v>
      </c>
      <c r="N43" t="s">
        <v>1403</v>
      </c>
      <c r="O43" s="285">
        <v>44512</v>
      </c>
    </row>
    <row r="44" spans="4:15">
      <c r="D44" t="s">
        <v>2338</v>
      </c>
      <c r="I44" t="s">
        <v>272</v>
      </c>
      <c r="J44" t="s">
        <v>273</v>
      </c>
      <c r="N44" t="s">
        <v>1405</v>
      </c>
      <c r="O44" s="285">
        <v>44512</v>
      </c>
    </row>
    <row r="45" spans="4:15">
      <c r="N45" t="s">
        <v>1408</v>
      </c>
      <c r="O45" s="285">
        <v>44512</v>
      </c>
    </row>
    <row r="46" spans="4:15">
      <c r="D46" t="s">
        <v>2339</v>
      </c>
      <c r="I46" t="s">
        <v>857</v>
      </c>
      <c r="J46" t="s">
        <v>858</v>
      </c>
      <c r="N46" t="s">
        <v>282</v>
      </c>
      <c r="O46" s="285">
        <v>44512</v>
      </c>
    </row>
    <row r="47" spans="4:15">
      <c r="D47" t="s">
        <v>2340</v>
      </c>
      <c r="I47" t="s">
        <v>863</v>
      </c>
      <c r="J47" t="s">
        <v>2341</v>
      </c>
      <c r="N47" t="s">
        <v>305</v>
      </c>
      <c r="O47" s="285">
        <v>44512</v>
      </c>
    </row>
    <row r="48" spans="4:15">
      <c r="N48" t="s">
        <v>310</v>
      </c>
      <c r="O48" s="285">
        <v>44512</v>
      </c>
    </row>
    <row r="49" spans="4:15">
      <c r="D49" t="s">
        <v>2342</v>
      </c>
      <c r="I49" t="s">
        <v>244</v>
      </c>
      <c r="J49" t="s">
        <v>246</v>
      </c>
      <c r="N49" t="s">
        <v>314</v>
      </c>
      <c r="O49" s="285">
        <v>44512</v>
      </c>
    </row>
    <row r="50" spans="4:15">
      <c r="N50" t="s">
        <v>294</v>
      </c>
      <c r="O50" s="285">
        <v>44512</v>
      </c>
    </row>
    <row r="51" spans="4:15">
      <c r="D51" t="s">
        <v>2343</v>
      </c>
      <c r="I51" t="s">
        <v>875</v>
      </c>
      <c r="J51" t="s">
        <v>2344</v>
      </c>
      <c r="N51" t="s">
        <v>296</v>
      </c>
      <c r="O51" s="285">
        <v>44512</v>
      </c>
    </row>
    <row r="52" spans="4:15">
      <c r="N52" t="s">
        <v>1411</v>
      </c>
      <c r="O52" s="285">
        <v>44512</v>
      </c>
    </row>
    <row r="53" spans="4:15">
      <c r="D53" t="s">
        <v>2332</v>
      </c>
      <c r="I53" t="s">
        <v>2332</v>
      </c>
      <c r="N53" t="s">
        <v>1413</v>
      </c>
      <c r="O53" s="285">
        <v>44512</v>
      </c>
    </row>
    <row r="55" spans="4:15">
      <c r="D55" t="s">
        <v>2345</v>
      </c>
      <c r="I55" t="s">
        <v>299</v>
      </c>
      <c r="J55" t="s">
        <v>2346</v>
      </c>
    </row>
    <row r="56" spans="4:15">
      <c r="D56" t="s">
        <v>2347</v>
      </c>
      <c r="I56" t="s">
        <v>301</v>
      </c>
      <c r="J56" t="s">
        <v>302</v>
      </c>
    </row>
    <row r="58" spans="4:15">
      <c r="D58" t="s">
        <v>2348</v>
      </c>
      <c r="I58" t="s">
        <v>275</v>
      </c>
      <c r="J58" t="s">
        <v>2349</v>
      </c>
    </row>
    <row r="59" spans="4:15">
      <c r="D59" t="s">
        <v>2350</v>
      </c>
      <c r="I59" t="s">
        <v>277</v>
      </c>
      <c r="J59" t="s">
        <v>278</v>
      </c>
    </row>
    <row r="60" spans="4:15">
      <c r="D60" t="s">
        <v>2351</v>
      </c>
      <c r="I60" t="s">
        <v>303</v>
      </c>
      <c r="J60" t="s">
        <v>304</v>
      </c>
    </row>
    <row r="61" spans="4:15">
      <c r="D61" t="s">
        <v>2352</v>
      </c>
      <c r="I61" t="s">
        <v>307</v>
      </c>
      <c r="J61" t="s">
        <v>308</v>
      </c>
    </row>
    <row r="62" spans="4:15">
      <c r="D62" t="s">
        <v>2353</v>
      </c>
      <c r="I62" t="s">
        <v>312</v>
      </c>
      <c r="J62" t="s">
        <v>313</v>
      </c>
    </row>
    <row r="64" spans="4:15">
      <c r="D64" t="s">
        <v>2354</v>
      </c>
      <c r="I64" t="s">
        <v>888</v>
      </c>
      <c r="J64" t="s">
        <v>2355</v>
      </c>
    </row>
    <row r="65" spans="4:13">
      <c r="D65" t="s">
        <v>2356</v>
      </c>
      <c r="I65" t="s">
        <v>891</v>
      </c>
      <c r="J65" t="s">
        <v>2357</v>
      </c>
      <c r="K65" t="s">
        <v>2358</v>
      </c>
    </row>
    <row r="67" spans="4:13">
      <c r="D67" t="s">
        <v>2359</v>
      </c>
      <c r="I67" t="s">
        <v>1400</v>
      </c>
      <c r="J67" t="s">
        <v>1401</v>
      </c>
      <c r="K67" t="s">
        <v>2360</v>
      </c>
      <c r="L67" t="s">
        <v>2361</v>
      </c>
    </row>
    <row r="68" spans="4:13">
      <c r="D68" t="s">
        <v>2362</v>
      </c>
      <c r="I68" t="s">
        <v>1403</v>
      </c>
      <c r="J68" t="s">
        <v>1404</v>
      </c>
      <c r="K68" t="s">
        <v>2360</v>
      </c>
      <c r="L68" t="s">
        <v>2361</v>
      </c>
    </row>
    <row r="70" spans="4:13">
      <c r="D70" t="s">
        <v>2363</v>
      </c>
      <c r="I70" t="s">
        <v>1405</v>
      </c>
      <c r="J70" t="s">
        <v>1406</v>
      </c>
      <c r="K70" t="s">
        <v>2360</v>
      </c>
      <c r="L70" t="s">
        <v>2364</v>
      </c>
    </row>
    <row r="71" spans="4:13">
      <c r="D71" t="s">
        <v>2365</v>
      </c>
      <c r="I71" t="s">
        <v>1408</v>
      </c>
      <c r="J71" t="s">
        <v>2366</v>
      </c>
      <c r="K71" t="s">
        <v>2360</v>
      </c>
      <c r="L71" t="s">
        <v>2367</v>
      </c>
      <c r="M71" t="s">
        <v>2368</v>
      </c>
    </row>
    <row r="73" spans="4:13">
      <c r="D73" t="s">
        <v>2369</v>
      </c>
      <c r="I73" t="s">
        <v>282</v>
      </c>
      <c r="J73" t="s">
        <v>2370</v>
      </c>
    </row>
    <row r="74" spans="4:13">
      <c r="D74" t="s">
        <v>2371</v>
      </c>
      <c r="I74" t="s">
        <v>305</v>
      </c>
      <c r="J74" t="s">
        <v>2372</v>
      </c>
    </row>
    <row r="75" spans="4:13">
      <c r="D75" t="s">
        <v>2373</v>
      </c>
      <c r="I75" t="s">
        <v>310</v>
      </c>
      <c r="J75" t="s">
        <v>2374</v>
      </c>
    </row>
    <row r="76" spans="4:13">
      <c r="D76" t="s">
        <v>2375</v>
      </c>
      <c r="I76" t="s">
        <v>314</v>
      </c>
      <c r="J76" t="s">
        <v>2376</v>
      </c>
    </row>
    <row r="78" spans="4:13">
      <c r="D78" t="s">
        <v>2377</v>
      </c>
      <c r="I78" t="s">
        <v>294</v>
      </c>
      <c r="J78" t="s">
        <v>295</v>
      </c>
    </row>
    <row r="79" spans="4:13">
      <c r="D79" t="s">
        <v>2378</v>
      </c>
      <c r="I79" t="s">
        <v>296</v>
      </c>
      <c r="J79" t="s">
        <v>297</v>
      </c>
    </row>
    <row r="81" spans="4:12">
      <c r="D81" t="s">
        <v>2379</v>
      </c>
      <c r="I81" t="s">
        <v>1411</v>
      </c>
      <c r="J81" t="s">
        <v>2380</v>
      </c>
      <c r="K81" t="s">
        <v>2360</v>
      </c>
      <c r="L81" t="s">
        <v>2381</v>
      </c>
    </row>
    <row r="82" spans="4:12">
      <c r="D82" t="s">
        <v>2382</v>
      </c>
      <c r="I82" t="s">
        <v>1413</v>
      </c>
      <c r="J82" t="s">
        <v>2383</v>
      </c>
      <c r="K82" t="s">
        <v>2360</v>
      </c>
      <c r="L82" t="s">
        <v>2384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2"/>
  <sheetViews>
    <sheetView workbookViewId="0">
      <selection activeCell="R25" sqref="R25"/>
    </sheetView>
  </sheetViews>
  <sheetFormatPr defaultColWidth="8.75" defaultRowHeight="14.4"/>
  <cols>
    <col min="1" max="1" width="11.875" style="309" customWidth="1"/>
    <col min="2" max="2" width="6.25" style="315" customWidth="1"/>
    <col min="3" max="3" width="6.875" style="315" customWidth="1"/>
    <col min="4" max="4" width="7.25" style="315" customWidth="1"/>
    <col min="5" max="22" width="5.25" style="311" customWidth="1"/>
    <col min="23" max="23" width="5.25" style="311" hidden="1" customWidth="1"/>
    <col min="24" max="24" width="5" style="311" bestFit="1" customWidth="1"/>
    <col min="25" max="25" width="8.75" style="311" customWidth="1"/>
    <col min="26" max="26" width="8.75" style="311" bestFit="1" customWidth="1"/>
    <col min="27" max="29" width="8.75" style="311" customWidth="1"/>
    <col min="30" max="16384" width="8.75" style="311"/>
  </cols>
  <sheetData>
    <row r="1" spans="1:26" ht="16.5" customHeight="1">
      <c r="A1" s="129" t="s">
        <v>1439</v>
      </c>
      <c r="B1" s="377"/>
      <c r="C1" s="377"/>
      <c r="D1" s="377"/>
      <c r="E1" s="58" t="s">
        <v>1441</v>
      </c>
      <c r="F1" s="59"/>
      <c r="G1" s="58" t="s">
        <v>1442</v>
      </c>
      <c r="H1" s="59"/>
      <c r="I1" s="60" t="s">
        <v>1444</v>
      </c>
      <c r="J1" s="61"/>
      <c r="K1" s="62" t="s">
        <v>1445</v>
      </c>
      <c r="L1" s="63"/>
      <c r="M1" s="63"/>
      <c r="N1" s="63"/>
      <c r="O1" s="63"/>
      <c r="P1" s="63"/>
      <c r="Q1" s="64" t="s">
        <v>1446</v>
      </c>
      <c r="R1" s="65"/>
      <c r="S1" s="64" t="s">
        <v>1447</v>
      </c>
      <c r="T1" s="65"/>
      <c r="U1" s="66" t="s">
        <v>1993</v>
      </c>
      <c r="V1" s="66"/>
      <c r="W1" s="66"/>
    </row>
    <row r="2" spans="1:26">
      <c r="A2" s="309" t="s">
        <v>2385</v>
      </c>
      <c r="B2" s="315" t="s">
        <v>67</v>
      </c>
      <c r="C2" s="315" t="s">
        <v>2015</v>
      </c>
      <c r="D2" s="315" t="s">
        <v>2283</v>
      </c>
      <c r="E2" s="311" t="s">
        <v>2386</v>
      </c>
      <c r="F2" s="311" t="s">
        <v>2387</v>
      </c>
      <c r="G2" s="311" t="s">
        <v>2388</v>
      </c>
      <c r="H2" s="311" t="s">
        <v>2389</v>
      </c>
      <c r="I2" s="311" t="s">
        <v>2390</v>
      </c>
      <c r="J2" s="311" t="s">
        <v>2391</v>
      </c>
      <c r="K2" s="311" t="s">
        <v>2392</v>
      </c>
      <c r="L2" s="311" t="s">
        <v>2393</v>
      </c>
      <c r="M2" s="311" t="s">
        <v>2394</v>
      </c>
      <c r="N2" s="311" t="s">
        <v>2395</v>
      </c>
      <c r="O2" s="311" t="s">
        <v>2396</v>
      </c>
      <c r="P2" s="311" t="s">
        <v>2397</v>
      </c>
      <c r="Q2" s="311" t="s">
        <v>2398</v>
      </c>
      <c r="R2" s="311" t="s">
        <v>2399</v>
      </c>
      <c r="S2" s="311" t="s">
        <v>2400</v>
      </c>
      <c r="T2" s="311" t="s">
        <v>2401</v>
      </c>
      <c r="U2" s="311" t="s">
        <v>2402</v>
      </c>
      <c r="V2" s="311" t="s">
        <v>2403</v>
      </c>
      <c r="W2" s="311" t="s">
        <v>2283</v>
      </c>
    </row>
    <row r="3" spans="1:26" hidden="1">
      <c r="A3" s="309">
        <v>44411</v>
      </c>
      <c r="E3" s="311">
        <v>32</v>
      </c>
      <c r="F3" s="311">
        <v>8</v>
      </c>
      <c r="G3" s="311">
        <v>2</v>
      </c>
      <c r="H3" s="311">
        <v>1</v>
      </c>
      <c r="I3" s="311">
        <v>79</v>
      </c>
      <c r="J3" s="311">
        <v>37</v>
      </c>
      <c r="K3" s="311">
        <v>27</v>
      </c>
      <c r="L3" s="311">
        <v>1</v>
      </c>
      <c r="M3" s="311">
        <v>4</v>
      </c>
      <c r="N3" s="311">
        <v>0</v>
      </c>
      <c r="O3" s="311">
        <v>2</v>
      </c>
      <c r="P3" s="311">
        <v>0</v>
      </c>
      <c r="Q3" s="311">
        <v>13</v>
      </c>
      <c r="R3" s="311">
        <v>0</v>
      </c>
      <c r="U3" s="311">
        <v>34</v>
      </c>
      <c r="V3" s="311">
        <v>7</v>
      </c>
      <c r="W3" s="67">
        <f>V3/U3</f>
        <v>0.20588235294117646</v>
      </c>
    </row>
    <row r="4" spans="1:26" hidden="1">
      <c r="A4" s="309">
        <v>44414</v>
      </c>
      <c r="E4" s="311">
        <v>32</v>
      </c>
      <c r="F4" s="311">
        <v>15</v>
      </c>
      <c r="G4" s="311">
        <v>2</v>
      </c>
      <c r="H4" s="311">
        <v>2</v>
      </c>
      <c r="I4" s="311">
        <v>79</v>
      </c>
      <c r="J4" s="311">
        <v>53</v>
      </c>
      <c r="K4" s="311">
        <v>27</v>
      </c>
      <c r="L4" s="311">
        <v>3</v>
      </c>
      <c r="M4" s="311">
        <v>4</v>
      </c>
      <c r="N4" s="311">
        <v>1</v>
      </c>
      <c r="O4" s="311">
        <v>2</v>
      </c>
      <c r="P4" s="311">
        <v>0</v>
      </c>
      <c r="Q4" s="311">
        <v>13</v>
      </c>
      <c r="R4" s="311">
        <v>0</v>
      </c>
      <c r="U4" s="311">
        <v>34</v>
      </c>
      <c r="V4" s="311">
        <v>12</v>
      </c>
      <c r="W4" s="67">
        <f>V4/U4</f>
        <v>0.35294117647058826</v>
      </c>
    </row>
    <row r="5" spans="1:26">
      <c r="A5" s="309">
        <v>44417</v>
      </c>
      <c r="B5" s="315">
        <f t="shared" ref="B5:B22" si="0">SUM(E5,G5,H5,I5,K5,M5,O5,Q5,U5)</f>
        <v>195</v>
      </c>
      <c r="C5" s="315">
        <f t="shared" ref="C5:C22" si="1">SUM(F5,H5,J5,L5,N5,P5,R5,V5)</f>
        <v>87</v>
      </c>
      <c r="D5" s="305">
        <f t="shared" ref="D5:D22" si="2">C5/B5</f>
        <v>0.44615384615384618</v>
      </c>
      <c r="E5" s="311">
        <v>32</v>
      </c>
      <c r="F5" s="311">
        <v>15</v>
      </c>
      <c r="G5" s="311">
        <v>2</v>
      </c>
      <c r="H5" s="311">
        <v>2</v>
      </c>
      <c r="I5" s="311">
        <v>79</v>
      </c>
      <c r="J5" s="311">
        <v>53</v>
      </c>
      <c r="K5" s="311">
        <v>27</v>
      </c>
      <c r="L5" s="311">
        <v>3</v>
      </c>
      <c r="M5" s="311">
        <v>4</v>
      </c>
      <c r="N5" s="311">
        <v>1</v>
      </c>
      <c r="O5" s="311">
        <v>2</v>
      </c>
      <c r="P5" s="311">
        <v>0</v>
      </c>
      <c r="Q5" s="311">
        <v>13</v>
      </c>
      <c r="R5" s="311">
        <v>0</v>
      </c>
      <c r="U5" s="311">
        <v>34</v>
      </c>
      <c r="V5" s="311">
        <v>13</v>
      </c>
      <c r="X5" s="311">
        <f t="shared" ref="X5:X17" si="3">SUM(F5,H5,J5,L5,N5,P5,R5)</f>
        <v>74</v>
      </c>
    </row>
    <row r="6" spans="1:26" hidden="1">
      <c r="A6" s="309">
        <v>44420</v>
      </c>
      <c r="B6" s="315">
        <f t="shared" si="0"/>
        <v>195</v>
      </c>
      <c r="C6" s="315">
        <f t="shared" si="1"/>
        <v>96</v>
      </c>
      <c r="D6" s="305">
        <f t="shared" si="2"/>
        <v>0.49230769230769234</v>
      </c>
      <c r="E6" s="311">
        <v>32</v>
      </c>
      <c r="F6" s="127">
        <v>17</v>
      </c>
      <c r="G6" s="311">
        <v>2</v>
      </c>
      <c r="H6" s="311">
        <v>2</v>
      </c>
      <c r="I6" s="311">
        <v>79</v>
      </c>
      <c r="J6" s="311">
        <v>55</v>
      </c>
      <c r="K6" s="311">
        <v>27</v>
      </c>
      <c r="L6" s="311">
        <v>3</v>
      </c>
      <c r="M6" s="311">
        <v>4</v>
      </c>
      <c r="N6" s="311">
        <v>1</v>
      </c>
      <c r="O6" s="311">
        <v>2</v>
      </c>
      <c r="P6" s="311">
        <v>0</v>
      </c>
      <c r="Q6" s="311">
        <v>13</v>
      </c>
      <c r="R6" s="311">
        <v>0</v>
      </c>
      <c r="U6" s="311">
        <v>34</v>
      </c>
      <c r="V6" s="127">
        <v>18</v>
      </c>
      <c r="X6" s="311">
        <f t="shared" si="3"/>
        <v>78</v>
      </c>
    </row>
    <row r="7" spans="1:26">
      <c r="A7" s="309">
        <v>44424</v>
      </c>
      <c r="B7" s="315">
        <f t="shared" si="0"/>
        <v>195</v>
      </c>
      <c r="C7" s="315">
        <f t="shared" si="1"/>
        <v>96</v>
      </c>
      <c r="D7" s="305">
        <f t="shared" si="2"/>
        <v>0.49230769230769234</v>
      </c>
      <c r="E7" s="311">
        <v>32</v>
      </c>
      <c r="F7" s="311">
        <v>17</v>
      </c>
      <c r="G7" s="311">
        <v>2</v>
      </c>
      <c r="H7" s="311">
        <v>2</v>
      </c>
      <c r="I7" s="311">
        <v>79</v>
      </c>
      <c r="J7" s="311">
        <v>55</v>
      </c>
      <c r="K7" s="311">
        <v>27</v>
      </c>
      <c r="L7" s="311">
        <v>3</v>
      </c>
      <c r="M7" s="311">
        <v>4</v>
      </c>
      <c r="N7" s="311">
        <v>1</v>
      </c>
      <c r="O7" s="311">
        <v>2</v>
      </c>
      <c r="P7" s="311">
        <v>0</v>
      </c>
      <c r="Q7" s="311">
        <v>13</v>
      </c>
      <c r="R7" s="311">
        <v>0</v>
      </c>
      <c r="U7" s="311">
        <v>34</v>
      </c>
      <c r="V7" s="311">
        <v>18</v>
      </c>
      <c r="X7" s="311">
        <f t="shared" si="3"/>
        <v>78</v>
      </c>
    </row>
    <row r="8" spans="1:26" hidden="1">
      <c r="A8" s="309">
        <v>44426</v>
      </c>
      <c r="B8" s="315">
        <f t="shared" si="0"/>
        <v>197</v>
      </c>
      <c r="C8" s="315">
        <f t="shared" si="1"/>
        <v>101</v>
      </c>
      <c r="D8" s="305">
        <f t="shared" si="2"/>
        <v>0.51269035532994922</v>
      </c>
      <c r="E8" s="311">
        <v>32</v>
      </c>
      <c r="F8" s="127">
        <v>18</v>
      </c>
      <c r="G8" s="311">
        <v>2</v>
      </c>
      <c r="H8" s="311">
        <v>2</v>
      </c>
      <c r="I8" s="311">
        <v>79</v>
      </c>
      <c r="J8" s="127">
        <v>56</v>
      </c>
      <c r="K8" s="127">
        <v>28</v>
      </c>
      <c r="L8" s="311">
        <v>3</v>
      </c>
      <c r="M8" s="311">
        <v>4</v>
      </c>
      <c r="N8" s="311">
        <v>1</v>
      </c>
      <c r="O8" s="311">
        <v>2</v>
      </c>
      <c r="P8" s="311">
        <v>0</v>
      </c>
      <c r="Q8" s="127">
        <v>14</v>
      </c>
      <c r="R8" s="127">
        <v>2</v>
      </c>
      <c r="S8" s="127"/>
      <c r="T8" s="127"/>
      <c r="U8" s="311">
        <v>34</v>
      </c>
      <c r="V8" s="127">
        <v>19</v>
      </c>
      <c r="X8" s="127">
        <f t="shared" si="3"/>
        <v>82</v>
      </c>
    </row>
    <row r="9" spans="1:26" hidden="1">
      <c r="A9" s="309">
        <v>44428</v>
      </c>
      <c r="B9" s="315">
        <f t="shared" si="0"/>
        <v>202</v>
      </c>
      <c r="C9" s="315">
        <f t="shared" si="1"/>
        <v>107</v>
      </c>
      <c r="D9" s="305">
        <f t="shared" si="2"/>
        <v>0.52970297029702973</v>
      </c>
      <c r="E9" s="311">
        <v>32</v>
      </c>
      <c r="F9" s="127">
        <v>19</v>
      </c>
      <c r="G9" s="311">
        <v>2</v>
      </c>
      <c r="H9" s="311">
        <v>2</v>
      </c>
      <c r="I9" s="127">
        <v>81</v>
      </c>
      <c r="J9" s="127">
        <v>60</v>
      </c>
      <c r="K9" s="127">
        <v>31</v>
      </c>
      <c r="L9" s="127">
        <v>4</v>
      </c>
      <c r="M9" s="311">
        <v>4</v>
      </c>
      <c r="N9" s="311">
        <v>1</v>
      </c>
      <c r="O9" s="311">
        <v>2</v>
      </c>
      <c r="P9" s="311">
        <v>0</v>
      </c>
      <c r="Q9" s="311">
        <v>14</v>
      </c>
      <c r="R9" s="311">
        <v>2</v>
      </c>
      <c r="U9" s="311">
        <v>34</v>
      </c>
      <c r="V9" s="311">
        <v>19</v>
      </c>
      <c r="X9" s="127">
        <f t="shared" si="3"/>
        <v>88</v>
      </c>
    </row>
    <row r="10" spans="1:26" hidden="1">
      <c r="A10" s="309">
        <v>44431</v>
      </c>
      <c r="B10" s="315">
        <f t="shared" si="0"/>
        <v>202</v>
      </c>
      <c r="C10" s="315">
        <f t="shared" si="1"/>
        <v>107</v>
      </c>
      <c r="D10" s="305">
        <f t="shared" si="2"/>
        <v>0.52970297029702973</v>
      </c>
      <c r="E10" s="311">
        <v>32</v>
      </c>
      <c r="F10" s="311">
        <v>19</v>
      </c>
      <c r="G10" s="311">
        <v>2</v>
      </c>
      <c r="H10" s="311">
        <v>2</v>
      </c>
      <c r="I10" s="311">
        <v>81</v>
      </c>
      <c r="J10" s="311">
        <v>60</v>
      </c>
      <c r="K10" s="311">
        <v>31</v>
      </c>
      <c r="L10" s="311">
        <v>4</v>
      </c>
      <c r="M10" s="311">
        <v>4</v>
      </c>
      <c r="N10" s="311">
        <v>1</v>
      </c>
      <c r="O10" s="311">
        <v>2</v>
      </c>
      <c r="P10" s="311">
        <v>0</v>
      </c>
      <c r="Q10" s="311">
        <v>14</v>
      </c>
      <c r="R10" s="311">
        <v>2</v>
      </c>
      <c r="U10" s="311">
        <v>34</v>
      </c>
      <c r="V10" s="311">
        <v>19</v>
      </c>
      <c r="X10" s="311">
        <f t="shared" si="3"/>
        <v>88</v>
      </c>
    </row>
    <row r="11" spans="1:26" hidden="1">
      <c r="A11" s="309">
        <v>44432</v>
      </c>
      <c r="B11" s="315">
        <f t="shared" si="0"/>
        <v>202</v>
      </c>
      <c r="C11" s="315">
        <f t="shared" si="1"/>
        <v>108</v>
      </c>
      <c r="D11" s="305">
        <f t="shared" si="2"/>
        <v>0.53465346534653468</v>
      </c>
      <c r="E11" s="311">
        <v>32</v>
      </c>
      <c r="F11" s="311">
        <v>19</v>
      </c>
      <c r="G11" s="311">
        <v>2</v>
      </c>
      <c r="H11" s="311">
        <v>2</v>
      </c>
      <c r="I11" s="311">
        <v>81</v>
      </c>
      <c r="J11" s="311">
        <v>60</v>
      </c>
      <c r="K11" s="311">
        <v>31</v>
      </c>
      <c r="L11" s="127">
        <v>5</v>
      </c>
      <c r="M11" s="311">
        <v>4</v>
      </c>
      <c r="N11" s="311">
        <v>1</v>
      </c>
      <c r="O11" s="311">
        <v>2</v>
      </c>
      <c r="P11" s="311">
        <v>0</v>
      </c>
      <c r="Q11" s="311">
        <v>14</v>
      </c>
      <c r="R11" s="311">
        <v>2</v>
      </c>
      <c r="U11" s="311">
        <v>34</v>
      </c>
      <c r="V11" s="311">
        <v>19</v>
      </c>
      <c r="X11" s="127">
        <f t="shared" si="3"/>
        <v>89</v>
      </c>
    </row>
    <row r="12" spans="1:26">
      <c r="A12" s="309">
        <v>44434</v>
      </c>
      <c r="B12" s="315">
        <f t="shared" si="0"/>
        <v>210</v>
      </c>
      <c r="C12" s="315">
        <f t="shared" si="1"/>
        <v>108</v>
      </c>
      <c r="D12" s="305">
        <f t="shared" si="2"/>
        <v>0.51428571428571423</v>
      </c>
      <c r="E12" s="311">
        <v>32</v>
      </c>
      <c r="F12" s="311">
        <v>19</v>
      </c>
      <c r="G12" s="311">
        <v>2</v>
      </c>
      <c r="H12" s="311">
        <v>2</v>
      </c>
      <c r="I12" s="311">
        <v>81</v>
      </c>
      <c r="J12" s="311">
        <v>60</v>
      </c>
      <c r="K12" s="311">
        <v>31</v>
      </c>
      <c r="L12" s="311">
        <v>5</v>
      </c>
      <c r="M12" s="311">
        <v>4</v>
      </c>
      <c r="N12" s="311">
        <v>1</v>
      </c>
      <c r="O12" s="311">
        <v>2</v>
      </c>
      <c r="P12" s="311">
        <v>0</v>
      </c>
      <c r="Q12" s="311">
        <v>14</v>
      </c>
      <c r="R12" s="311">
        <v>2</v>
      </c>
      <c r="U12" s="127">
        <v>42</v>
      </c>
      <c r="V12" s="311">
        <v>19</v>
      </c>
      <c r="X12" s="311">
        <f t="shared" si="3"/>
        <v>89</v>
      </c>
      <c r="Z12" s="378"/>
    </row>
    <row r="13" spans="1:26">
      <c r="A13" s="309">
        <v>44440</v>
      </c>
      <c r="B13" s="315">
        <f t="shared" si="0"/>
        <v>260</v>
      </c>
      <c r="C13" s="315">
        <f t="shared" si="1"/>
        <v>133</v>
      </c>
      <c r="D13" s="305">
        <f t="shared" si="2"/>
        <v>0.5115384615384615</v>
      </c>
      <c r="E13" s="127">
        <v>33</v>
      </c>
      <c r="F13" s="127">
        <v>21</v>
      </c>
      <c r="G13" s="311">
        <v>2</v>
      </c>
      <c r="H13" s="311">
        <v>2</v>
      </c>
      <c r="I13" s="127">
        <v>108</v>
      </c>
      <c r="J13" s="127">
        <v>80</v>
      </c>
      <c r="K13" s="127">
        <v>47</v>
      </c>
      <c r="L13" s="127">
        <v>7</v>
      </c>
      <c r="M13" s="311">
        <v>4</v>
      </c>
      <c r="N13" s="311">
        <v>1</v>
      </c>
      <c r="O13" s="311">
        <v>2</v>
      </c>
      <c r="P13" s="311">
        <v>0</v>
      </c>
      <c r="Q13" s="311">
        <v>14</v>
      </c>
      <c r="R13" s="127">
        <v>3</v>
      </c>
      <c r="S13" s="127">
        <v>2</v>
      </c>
      <c r="T13" s="127">
        <v>0</v>
      </c>
      <c r="U13" s="127">
        <v>48</v>
      </c>
      <c r="V13" s="311">
        <v>19</v>
      </c>
      <c r="X13" s="311">
        <f t="shared" si="3"/>
        <v>114</v>
      </c>
    </row>
    <row r="14" spans="1:26">
      <c r="A14" s="309">
        <v>44446</v>
      </c>
      <c r="B14" s="315">
        <f t="shared" si="0"/>
        <v>291</v>
      </c>
      <c r="C14" s="315">
        <f t="shared" si="1"/>
        <v>161</v>
      </c>
      <c r="D14" s="305">
        <f t="shared" si="2"/>
        <v>0.5532646048109966</v>
      </c>
      <c r="E14" s="127">
        <v>37</v>
      </c>
      <c r="F14" s="127">
        <v>24</v>
      </c>
      <c r="G14" s="311">
        <v>2</v>
      </c>
      <c r="H14" s="311">
        <v>2</v>
      </c>
      <c r="I14" s="127">
        <v>134</v>
      </c>
      <c r="J14" s="127">
        <v>95</v>
      </c>
      <c r="K14" s="127">
        <v>48</v>
      </c>
      <c r="L14" s="127">
        <v>13</v>
      </c>
      <c r="M14" s="311">
        <v>4</v>
      </c>
      <c r="N14" s="311">
        <v>1</v>
      </c>
      <c r="O14" s="127">
        <v>1</v>
      </c>
      <c r="P14" s="311">
        <v>0</v>
      </c>
      <c r="Q14" s="311">
        <v>14</v>
      </c>
      <c r="R14" s="127">
        <v>7</v>
      </c>
      <c r="S14" s="311">
        <v>2</v>
      </c>
      <c r="T14" s="311">
        <v>0</v>
      </c>
      <c r="U14" s="127">
        <v>49</v>
      </c>
      <c r="V14" s="311">
        <v>19</v>
      </c>
      <c r="X14" s="311">
        <f t="shared" si="3"/>
        <v>142</v>
      </c>
    </row>
    <row r="15" spans="1:26">
      <c r="A15" s="309">
        <v>44456</v>
      </c>
      <c r="B15" s="315">
        <f t="shared" si="0"/>
        <v>295</v>
      </c>
      <c r="C15" s="315">
        <f t="shared" si="1"/>
        <v>222</v>
      </c>
      <c r="D15" s="305">
        <f t="shared" si="2"/>
        <v>0.75254237288135595</v>
      </c>
      <c r="E15" s="311">
        <v>37</v>
      </c>
      <c r="F15" s="127">
        <v>34</v>
      </c>
      <c r="G15" s="311">
        <v>2</v>
      </c>
      <c r="H15" s="311">
        <v>2</v>
      </c>
      <c r="I15" s="311">
        <v>134</v>
      </c>
      <c r="J15" s="127">
        <v>129</v>
      </c>
      <c r="K15" s="311">
        <v>48</v>
      </c>
      <c r="L15" s="127">
        <v>22</v>
      </c>
      <c r="M15" s="311">
        <v>4</v>
      </c>
      <c r="N15" s="127">
        <v>2</v>
      </c>
      <c r="O15" s="127">
        <v>2</v>
      </c>
      <c r="P15" s="127">
        <v>1</v>
      </c>
      <c r="Q15" s="311">
        <v>14</v>
      </c>
      <c r="R15" s="127">
        <v>13</v>
      </c>
      <c r="S15" s="311">
        <v>2</v>
      </c>
      <c r="T15" s="311">
        <v>0</v>
      </c>
      <c r="U15" s="127">
        <v>52</v>
      </c>
      <c r="V15" s="311">
        <v>19</v>
      </c>
      <c r="X15" s="311">
        <f t="shared" si="3"/>
        <v>203</v>
      </c>
    </row>
    <row r="16" spans="1:26">
      <c r="A16" s="309">
        <v>44467</v>
      </c>
      <c r="B16" s="315">
        <f t="shared" si="0"/>
        <v>301</v>
      </c>
      <c r="C16" s="315">
        <f t="shared" si="1"/>
        <v>244</v>
      </c>
      <c r="D16" s="305">
        <f t="shared" si="2"/>
        <v>0.81063122923588038</v>
      </c>
      <c r="E16" s="311">
        <v>37</v>
      </c>
      <c r="F16" s="127">
        <v>37</v>
      </c>
      <c r="G16" s="311">
        <v>2</v>
      </c>
      <c r="H16" s="311">
        <v>2</v>
      </c>
      <c r="I16" s="311">
        <v>134</v>
      </c>
      <c r="J16" s="127">
        <v>132</v>
      </c>
      <c r="K16" s="311">
        <v>48</v>
      </c>
      <c r="L16" s="127">
        <v>29</v>
      </c>
      <c r="M16" s="311">
        <v>4</v>
      </c>
      <c r="N16" s="162">
        <v>2</v>
      </c>
      <c r="O16" s="162">
        <v>2</v>
      </c>
      <c r="P16" s="162">
        <v>1</v>
      </c>
      <c r="Q16" s="311">
        <v>14</v>
      </c>
      <c r="R16" s="162">
        <v>13</v>
      </c>
      <c r="S16" s="311">
        <v>2</v>
      </c>
      <c r="T16" s="311">
        <v>0</v>
      </c>
      <c r="U16" s="127">
        <v>58</v>
      </c>
      <c r="V16" s="127">
        <v>28</v>
      </c>
      <c r="X16" s="311">
        <f t="shared" si="3"/>
        <v>216</v>
      </c>
    </row>
    <row r="17" spans="1:24">
      <c r="A17" s="309">
        <v>44473</v>
      </c>
      <c r="B17" s="315">
        <f t="shared" si="0"/>
        <v>387</v>
      </c>
      <c r="C17" s="315">
        <f t="shared" si="1"/>
        <v>309</v>
      </c>
      <c r="D17" s="305">
        <f t="shared" si="2"/>
        <v>0.79844961240310075</v>
      </c>
      <c r="E17" s="311">
        <v>37</v>
      </c>
      <c r="F17" s="311">
        <v>37</v>
      </c>
      <c r="G17" s="311">
        <v>2</v>
      </c>
      <c r="H17" s="311">
        <v>2</v>
      </c>
      <c r="I17" s="311">
        <v>206</v>
      </c>
      <c r="J17" s="311">
        <v>187</v>
      </c>
      <c r="K17" s="127">
        <v>60</v>
      </c>
      <c r="L17" s="127">
        <v>37</v>
      </c>
      <c r="M17" s="311">
        <v>4</v>
      </c>
      <c r="N17" s="311">
        <v>4</v>
      </c>
      <c r="O17" s="311">
        <v>2</v>
      </c>
      <c r="P17" s="311">
        <v>1</v>
      </c>
      <c r="Q17" s="311">
        <v>14</v>
      </c>
      <c r="R17" s="311">
        <v>13</v>
      </c>
      <c r="S17" s="311">
        <v>2</v>
      </c>
      <c r="T17" s="311">
        <v>0</v>
      </c>
      <c r="U17" s="311">
        <v>60</v>
      </c>
      <c r="V17" s="162">
        <v>28</v>
      </c>
      <c r="X17" s="311">
        <f t="shared" si="3"/>
        <v>281</v>
      </c>
    </row>
    <row r="18" spans="1:24">
      <c r="A18" s="309">
        <v>44477</v>
      </c>
      <c r="B18" s="315">
        <f t="shared" si="0"/>
        <v>387</v>
      </c>
      <c r="C18" s="315">
        <f t="shared" si="1"/>
        <v>324</v>
      </c>
      <c r="D18" s="305">
        <f t="shared" si="2"/>
        <v>0.83720930232558144</v>
      </c>
      <c r="E18" s="311">
        <v>37</v>
      </c>
      <c r="F18" s="311">
        <v>37</v>
      </c>
      <c r="G18" s="311">
        <v>2</v>
      </c>
      <c r="H18" s="311">
        <v>2</v>
      </c>
      <c r="I18" s="311">
        <v>206</v>
      </c>
      <c r="J18" s="127">
        <v>196</v>
      </c>
      <c r="K18" s="311">
        <v>60</v>
      </c>
      <c r="L18" s="127">
        <v>38</v>
      </c>
      <c r="M18" s="311">
        <v>4</v>
      </c>
      <c r="N18" s="311">
        <v>4</v>
      </c>
      <c r="O18" s="311">
        <v>2</v>
      </c>
      <c r="P18" s="311">
        <v>1</v>
      </c>
      <c r="Q18" s="311">
        <v>14</v>
      </c>
      <c r="R18" s="311">
        <v>13</v>
      </c>
      <c r="S18" s="311">
        <v>2</v>
      </c>
      <c r="T18" s="311">
        <v>0</v>
      </c>
      <c r="U18" s="311">
        <v>60</v>
      </c>
      <c r="V18" s="311">
        <v>33</v>
      </c>
    </row>
    <row r="19" spans="1:24">
      <c r="A19" s="309">
        <v>44491</v>
      </c>
      <c r="B19" s="315">
        <f t="shared" si="0"/>
        <v>425</v>
      </c>
      <c r="C19" s="315">
        <f t="shared" si="1"/>
        <v>354</v>
      </c>
      <c r="D19" s="305">
        <f t="shared" si="2"/>
        <v>0.83294117647058818</v>
      </c>
      <c r="E19" s="311">
        <v>37</v>
      </c>
      <c r="F19" s="311">
        <v>37</v>
      </c>
      <c r="G19" s="311">
        <v>2</v>
      </c>
      <c r="H19" s="311">
        <v>2</v>
      </c>
      <c r="I19" s="127">
        <v>237</v>
      </c>
      <c r="J19" s="127">
        <v>215</v>
      </c>
      <c r="K19" s="127">
        <v>66</v>
      </c>
      <c r="L19" s="127">
        <v>45</v>
      </c>
      <c r="M19" s="311">
        <v>4</v>
      </c>
      <c r="N19" s="311">
        <v>4</v>
      </c>
      <c r="O19" s="311">
        <v>2</v>
      </c>
      <c r="P19" s="311">
        <v>1</v>
      </c>
      <c r="Q19" s="311">
        <v>14</v>
      </c>
      <c r="R19" s="311">
        <v>13</v>
      </c>
      <c r="S19" s="311">
        <v>2</v>
      </c>
      <c r="T19" s="311">
        <v>0</v>
      </c>
      <c r="U19" s="127">
        <v>61</v>
      </c>
      <c r="V19" s="127">
        <v>37</v>
      </c>
    </row>
    <row r="20" spans="1:24">
      <c r="A20" s="309">
        <v>44497</v>
      </c>
      <c r="B20" s="315">
        <f t="shared" si="0"/>
        <v>439</v>
      </c>
      <c r="C20" s="315">
        <f t="shared" si="1"/>
        <v>361</v>
      </c>
      <c r="D20" s="305">
        <f t="shared" si="2"/>
        <v>0.82232346241457854</v>
      </c>
      <c r="E20" s="311">
        <v>37</v>
      </c>
      <c r="F20" s="311">
        <v>37</v>
      </c>
      <c r="G20" s="311">
        <v>2</v>
      </c>
      <c r="H20" s="311">
        <v>2</v>
      </c>
      <c r="I20" s="162">
        <v>237</v>
      </c>
      <c r="J20" s="162">
        <v>215</v>
      </c>
      <c r="K20" s="127">
        <v>70</v>
      </c>
      <c r="L20" s="162">
        <v>45</v>
      </c>
      <c r="M20" s="311">
        <v>4</v>
      </c>
      <c r="N20" s="311">
        <v>4</v>
      </c>
      <c r="O20" s="311">
        <v>2</v>
      </c>
      <c r="P20" s="311">
        <v>1</v>
      </c>
      <c r="Q20" s="311">
        <v>14</v>
      </c>
      <c r="R20" s="311">
        <v>13</v>
      </c>
      <c r="S20" s="311">
        <v>2</v>
      </c>
      <c r="T20" s="311">
        <v>0</v>
      </c>
      <c r="U20" s="127">
        <v>71</v>
      </c>
      <c r="V20" s="127">
        <v>44</v>
      </c>
    </row>
    <row r="21" spans="1:24">
      <c r="A21" s="309">
        <v>44511</v>
      </c>
      <c r="B21" s="315">
        <f t="shared" si="0"/>
        <v>570</v>
      </c>
      <c r="C21" s="315">
        <f t="shared" si="1"/>
        <v>491</v>
      </c>
      <c r="D21" s="305">
        <f t="shared" si="2"/>
        <v>0.86140350877192984</v>
      </c>
      <c r="E21" s="311">
        <v>37</v>
      </c>
      <c r="F21" s="311">
        <v>37</v>
      </c>
      <c r="G21" s="311">
        <v>2</v>
      </c>
      <c r="H21" s="311">
        <v>2</v>
      </c>
      <c r="I21" s="127">
        <v>332</v>
      </c>
      <c r="J21" s="127">
        <v>318</v>
      </c>
      <c r="K21" s="127">
        <v>92</v>
      </c>
      <c r="L21" s="127">
        <v>68</v>
      </c>
      <c r="M21" s="127">
        <v>8</v>
      </c>
      <c r="N21" s="127">
        <v>7</v>
      </c>
      <c r="O21" s="311">
        <v>2</v>
      </c>
      <c r="P21" s="311">
        <v>1</v>
      </c>
      <c r="Q21" s="311">
        <v>14</v>
      </c>
      <c r="R21" s="311">
        <v>13</v>
      </c>
      <c r="S21" s="311">
        <v>2</v>
      </c>
      <c r="T21" s="311">
        <v>0</v>
      </c>
      <c r="U21" s="127">
        <v>81</v>
      </c>
      <c r="V21" s="127">
        <v>45</v>
      </c>
    </row>
    <row r="22" spans="1:24">
      <c r="A22" s="309">
        <v>44515</v>
      </c>
      <c r="B22" s="315">
        <f t="shared" si="0"/>
        <v>572</v>
      </c>
      <c r="C22" s="315">
        <f t="shared" si="1"/>
        <v>492</v>
      </c>
      <c r="D22" s="305">
        <f t="shared" si="2"/>
        <v>0.8601398601398601</v>
      </c>
      <c r="E22" s="311">
        <v>37</v>
      </c>
      <c r="F22" s="311">
        <v>37</v>
      </c>
      <c r="G22" s="311">
        <v>2</v>
      </c>
      <c r="H22" s="311">
        <v>2</v>
      </c>
      <c r="I22" s="162">
        <v>332</v>
      </c>
      <c r="J22" s="162">
        <v>318</v>
      </c>
      <c r="K22" s="162">
        <v>92</v>
      </c>
      <c r="L22" s="127">
        <v>69</v>
      </c>
      <c r="M22" s="311">
        <v>8</v>
      </c>
      <c r="N22" s="311">
        <v>7</v>
      </c>
      <c r="O22" s="311">
        <v>2</v>
      </c>
      <c r="P22" s="311">
        <v>1</v>
      </c>
      <c r="Q22" s="311">
        <v>14</v>
      </c>
      <c r="R22" s="311">
        <v>13</v>
      </c>
      <c r="S22" s="311">
        <v>2</v>
      </c>
      <c r="T22" s="311">
        <v>0</v>
      </c>
      <c r="U22" s="127">
        <v>83</v>
      </c>
      <c r="V22" s="127">
        <v>45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5" bestFit="1" customWidth="1"/>
    <col min="2" max="2" width="8.625" style="135" bestFit="1" customWidth="1"/>
    <col min="3" max="3" width="11.875" style="135" bestFit="1" customWidth="1"/>
    <col min="4" max="4" width="5.375" style="135" bestFit="1" customWidth="1"/>
    <col min="5" max="5" width="16.875" style="135" bestFit="1" customWidth="1"/>
    <col min="6" max="8" width="8.75" style="135" customWidth="1"/>
    <col min="9" max="16384" width="8.75" style="135"/>
  </cols>
  <sheetData>
    <row r="1" spans="1:5">
      <c r="A1" s="139" t="s">
        <v>2404</v>
      </c>
      <c r="B1" s="139" t="s">
        <v>2405</v>
      </c>
      <c r="C1" s="139" t="s">
        <v>2406</v>
      </c>
      <c r="E1" s="141" t="s">
        <v>2407</v>
      </c>
    </row>
    <row r="2" spans="1:5">
      <c r="A2" s="139" t="s">
        <v>145</v>
      </c>
      <c r="B2" s="139" t="s">
        <v>51</v>
      </c>
      <c r="C2" s="139">
        <v>1</v>
      </c>
      <c r="D2" s="135" t="str">
        <f t="shared" ref="D2:D65" si="0">B2&amp;"-"&amp;C2</f>
        <v>L1-1</v>
      </c>
    </row>
    <row r="3" spans="1:5">
      <c r="A3" s="139" t="s">
        <v>185</v>
      </c>
      <c r="B3" s="139" t="s">
        <v>51</v>
      </c>
      <c r="C3" s="139">
        <v>1</v>
      </c>
      <c r="D3" s="135" t="str">
        <f t="shared" si="0"/>
        <v>L1-1</v>
      </c>
    </row>
    <row r="4" spans="1:5">
      <c r="A4" s="139" t="s">
        <v>169</v>
      </c>
      <c r="B4" s="139" t="s">
        <v>51</v>
      </c>
      <c r="C4" s="139">
        <v>1</v>
      </c>
      <c r="D4" s="135" t="str">
        <f t="shared" si="0"/>
        <v>L1-1</v>
      </c>
    </row>
    <row r="5" spans="1:5">
      <c r="A5" s="139" t="s">
        <v>187</v>
      </c>
      <c r="B5" s="139" t="s">
        <v>51</v>
      </c>
      <c r="C5" s="139">
        <v>3</v>
      </c>
      <c r="D5" s="135" t="str">
        <f t="shared" si="0"/>
        <v>L1-3</v>
      </c>
    </row>
    <row r="6" spans="1:5">
      <c r="A6" s="139" t="s">
        <v>178</v>
      </c>
      <c r="B6" s="139" t="s">
        <v>51</v>
      </c>
      <c r="C6" s="139">
        <v>4</v>
      </c>
      <c r="D6" s="135" t="str">
        <f t="shared" si="0"/>
        <v>L1-4</v>
      </c>
    </row>
    <row r="7" spans="1:5">
      <c r="A7" s="139" t="s">
        <v>201</v>
      </c>
      <c r="B7" s="139" t="s">
        <v>56</v>
      </c>
      <c r="C7" s="139">
        <v>1</v>
      </c>
      <c r="D7" s="135" t="str">
        <f t="shared" si="0"/>
        <v>L2-1</v>
      </c>
    </row>
    <row r="8" spans="1:5">
      <c r="A8" s="139" t="s">
        <v>211</v>
      </c>
      <c r="B8" s="139" t="s">
        <v>56</v>
      </c>
      <c r="C8" s="139">
        <v>2</v>
      </c>
      <c r="D8" s="135" t="str">
        <f t="shared" si="0"/>
        <v>L2-2</v>
      </c>
    </row>
    <row r="9" spans="1:5">
      <c r="A9" s="139" t="s">
        <v>227</v>
      </c>
      <c r="B9" s="139" t="s">
        <v>56</v>
      </c>
      <c r="C9" s="139">
        <v>2</v>
      </c>
      <c r="D9" s="135" t="str">
        <f t="shared" si="0"/>
        <v>L2-2</v>
      </c>
    </row>
    <row r="10" spans="1:5">
      <c r="A10" s="139" t="s">
        <v>258</v>
      </c>
      <c r="B10" s="139" t="s">
        <v>56</v>
      </c>
      <c r="C10" s="139">
        <v>2</v>
      </c>
      <c r="D10" s="135" t="str">
        <f t="shared" si="0"/>
        <v>L2-2</v>
      </c>
    </row>
    <row r="11" spans="1:5">
      <c r="A11" s="139" t="s">
        <v>264</v>
      </c>
      <c r="B11" s="139" t="s">
        <v>56</v>
      </c>
      <c r="C11" s="139">
        <v>2</v>
      </c>
      <c r="D11" s="135" t="str">
        <f t="shared" si="0"/>
        <v>L2-2</v>
      </c>
    </row>
    <row r="12" spans="1:5">
      <c r="A12" s="140" t="s">
        <v>867</v>
      </c>
      <c r="B12" s="139" t="s">
        <v>56</v>
      </c>
      <c r="C12" s="139">
        <v>2</v>
      </c>
      <c r="D12" s="135" t="str">
        <f t="shared" si="0"/>
        <v>L2-2</v>
      </c>
    </row>
    <row r="13" spans="1:5">
      <c r="A13" s="139" t="s">
        <v>777</v>
      </c>
      <c r="B13" s="139" t="s">
        <v>56</v>
      </c>
      <c r="C13" s="139">
        <v>2</v>
      </c>
      <c r="D13" s="135" t="str">
        <f t="shared" si="0"/>
        <v>L2-2</v>
      </c>
    </row>
    <row r="14" spans="1:5">
      <c r="A14" s="139" t="s">
        <v>224</v>
      </c>
      <c r="B14" s="139" t="s">
        <v>56</v>
      </c>
      <c r="C14" s="139">
        <v>2</v>
      </c>
      <c r="D14" s="135" t="str">
        <f t="shared" si="0"/>
        <v>L2-2</v>
      </c>
    </row>
    <row r="15" spans="1:5">
      <c r="A15" s="139" t="s">
        <v>255</v>
      </c>
      <c r="B15" s="139" t="s">
        <v>56</v>
      </c>
      <c r="C15" s="139">
        <v>2</v>
      </c>
      <c r="D15" s="135" t="str">
        <f t="shared" si="0"/>
        <v>L2-2</v>
      </c>
    </row>
    <row r="16" spans="1:5">
      <c r="A16" s="139" t="s">
        <v>252</v>
      </c>
      <c r="B16" s="139" t="s">
        <v>56</v>
      </c>
      <c r="C16" s="139">
        <v>2</v>
      </c>
      <c r="D16" s="135" t="str">
        <f t="shared" si="0"/>
        <v>L2-2</v>
      </c>
    </row>
    <row r="17" spans="1:4">
      <c r="A17" s="139" t="s">
        <v>237</v>
      </c>
      <c r="B17" s="139" t="s">
        <v>56</v>
      </c>
      <c r="C17" s="139">
        <v>3</v>
      </c>
      <c r="D17" s="135" t="str">
        <f t="shared" si="0"/>
        <v>L2-3</v>
      </c>
    </row>
    <row r="18" spans="1:4">
      <c r="A18" s="139" t="s">
        <v>270</v>
      </c>
      <c r="B18" s="139" t="s">
        <v>56</v>
      </c>
      <c r="C18" s="139">
        <v>3</v>
      </c>
      <c r="D18" s="135" t="str">
        <f t="shared" si="0"/>
        <v>L2-3</v>
      </c>
    </row>
    <row r="19" spans="1:4">
      <c r="A19" s="139" t="s">
        <v>857</v>
      </c>
      <c r="B19" s="139" t="s">
        <v>56</v>
      </c>
      <c r="C19" s="139">
        <v>3</v>
      </c>
      <c r="D19" s="135" t="str">
        <f t="shared" si="0"/>
        <v>L2-3</v>
      </c>
    </row>
    <row r="20" spans="1:4">
      <c r="A20" s="139" t="s">
        <v>244</v>
      </c>
      <c r="B20" s="139" t="s">
        <v>56</v>
      </c>
      <c r="C20" s="139">
        <v>3</v>
      </c>
      <c r="D20" s="135" t="str">
        <f t="shared" si="0"/>
        <v>L2-3</v>
      </c>
    </row>
    <row r="21" spans="1:4">
      <c r="A21" s="139" t="s">
        <v>875</v>
      </c>
      <c r="B21" s="139" t="s">
        <v>56</v>
      </c>
      <c r="C21" s="139">
        <v>3</v>
      </c>
      <c r="D21" s="135" t="str">
        <f t="shared" si="0"/>
        <v>L2-3</v>
      </c>
    </row>
    <row r="22" spans="1:4">
      <c r="A22" s="139" t="s">
        <v>299</v>
      </c>
      <c r="B22" s="139" t="s">
        <v>56</v>
      </c>
      <c r="C22" s="139">
        <v>4</v>
      </c>
      <c r="D22" s="135" t="str">
        <f t="shared" si="0"/>
        <v>L2-4</v>
      </c>
    </row>
    <row r="23" spans="1:4">
      <c r="A23" s="139" t="s">
        <v>275</v>
      </c>
      <c r="B23" s="139" t="s">
        <v>56</v>
      </c>
      <c r="C23" s="139">
        <v>4</v>
      </c>
      <c r="D23" s="135" t="str">
        <f t="shared" si="0"/>
        <v>L2-4</v>
      </c>
    </row>
    <row r="24" spans="1:4">
      <c r="A24" s="139" t="s">
        <v>888</v>
      </c>
      <c r="B24" s="139" t="s">
        <v>56</v>
      </c>
      <c r="C24" s="139">
        <v>4</v>
      </c>
      <c r="D24" s="135" t="str">
        <f t="shared" si="0"/>
        <v>L2-4</v>
      </c>
    </row>
    <row r="25" spans="1:4">
      <c r="A25" s="139" t="s">
        <v>1400</v>
      </c>
      <c r="B25" s="139" t="s">
        <v>56</v>
      </c>
      <c r="C25" s="139">
        <v>4</v>
      </c>
      <c r="D25" s="135" t="str">
        <f t="shared" si="0"/>
        <v>L2-4</v>
      </c>
    </row>
    <row r="26" spans="1:4">
      <c r="A26" s="139" t="s">
        <v>1403</v>
      </c>
      <c r="B26" s="139" t="s">
        <v>56</v>
      </c>
      <c r="C26" s="139">
        <v>4</v>
      </c>
      <c r="D26" s="135" t="str">
        <f t="shared" si="0"/>
        <v>L2-4</v>
      </c>
    </row>
    <row r="27" spans="1:4">
      <c r="A27" s="139" t="s">
        <v>1405</v>
      </c>
      <c r="B27" s="139" t="s">
        <v>56</v>
      </c>
      <c r="C27" s="139">
        <v>4</v>
      </c>
      <c r="D27" s="135" t="str">
        <f t="shared" si="0"/>
        <v>L2-4</v>
      </c>
    </row>
    <row r="28" spans="1:4">
      <c r="A28" s="139" t="s">
        <v>1408</v>
      </c>
      <c r="B28" s="139" t="s">
        <v>56</v>
      </c>
      <c r="C28" s="139">
        <v>4</v>
      </c>
      <c r="D28" s="135" t="str">
        <f t="shared" si="0"/>
        <v>L2-4</v>
      </c>
    </row>
    <row r="29" spans="1:4">
      <c r="A29" s="139" t="s">
        <v>282</v>
      </c>
      <c r="B29" s="139" t="s">
        <v>56</v>
      </c>
      <c r="C29" s="139">
        <v>4</v>
      </c>
      <c r="D29" s="135" t="str">
        <f t="shared" si="0"/>
        <v>L2-4</v>
      </c>
    </row>
    <row r="30" spans="1:4">
      <c r="A30" s="139" t="s">
        <v>305</v>
      </c>
      <c r="B30" s="139" t="s">
        <v>56</v>
      </c>
      <c r="C30" s="139">
        <v>4</v>
      </c>
      <c r="D30" s="135" t="str">
        <f t="shared" si="0"/>
        <v>L2-4</v>
      </c>
    </row>
    <row r="31" spans="1:4">
      <c r="A31" s="139" t="s">
        <v>310</v>
      </c>
      <c r="B31" s="139" t="s">
        <v>56</v>
      </c>
      <c r="C31" s="139">
        <v>4</v>
      </c>
      <c r="D31" s="135" t="str">
        <f t="shared" si="0"/>
        <v>L2-4</v>
      </c>
    </row>
    <row r="32" spans="1:4">
      <c r="A32" s="139" t="s">
        <v>314</v>
      </c>
      <c r="B32" s="139" t="s">
        <v>56</v>
      </c>
      <c r="C32" s="139">
        <v>4</v>
      </c>
      <c r="D32" s="135" t="str">
        <f t="shared" si="0"/>
        <v>L2-4</v>
      </c>
    </row>
    <row r="33" spans="1:4">
      <c r="A33" s="139" t="s">
        <v>294</v>
      </c>
      <c r="B33" s="139" t="s">
        <v>56</v>
      </c>
      <c r="C33" s="139">
        <v>4</v>
      </c>
      <c r="D33" s="135" t="str">
        <f t="shared" si="0"/>
        <v>L2-4</v>
      </c>
    </row>
    <row r="34" spans="1:4">
      <c r="A34" s="139" t="s">
        <v>1411</v>
      </c>
      <c r="B34" s="139" t="s">
        <v>56</v>
      </c>
      <c r="C34" s="139">
        <v>4</v>
      </c>
      <c r="D34" s="135" t="str">
        <f t="shared" si="0"/>
        <v>L2-4</v>
      </c>
    </row>
    <row r="35" spans="1:4">
      <c r="A35" s="139" t="s">
        <v>1413</v>
      </c>
      <c r="B35" s="139" t="s">
        <v>56</v>
      </c>
      <c r="C35" s="139">
        <v>4</v>
      </c>
      <c r="D35" s="135" t="str">
        <f t="shared" si="0"/>
        <v>L2-4</v>
      </c>
    </row>
    <row r="36" spans="1:4">
      <c r="A36" s="139" t="s">
        <v>736</v>
      </c>
      <c r="B36" s="139" t="s">
        <v>56</v>
      </c>
      <c r="C36" s="139">
        <v>5</v>
      </c>
      <c r="D36" s="135" t="str">
        <f t="shared" si="0"/>
        <v>L2-5</v>
      </c>
    </row>
    <row r="37" spans="1:4">
      <c r="A37" s="139" t="s">
        <v>733</v>
      </c>
      <c r="B37" s="139" t="s">
        <v>56</v>
      </c>
      <c r="C37" s="139">
        <v>5</v>
      </c>
      <c r="D37" s="135" t="str">
        <f t="shared" si="0"/>
        <v>L2-5</v>
      </c>
    </row>
    <row r="38" spans="1:4">
      <c r="A38" s="139" t="s">
        <v>751</v>
      </c>
      <c r="B38" s="139" t="s">
        <v>56</v>
      </c>
      <c r="C38" s="139">
        <v>5</v>
      </c>
      <c r="D38" s="135" t="str">
        <f t="shared" si="0"/>
        <v>L2-5</v>
      </c>
    </row>
    <row r="39" spans="1:4">
      <c r="A39" s="139" t="s">
        <v>754</v>
      </c>
      <c r="B39" s="139" t="s">
        <v>56</v>
      </c>
      <c r="C39" s="139">
        <v>5</v>
      </c>
      <c r="D39" s="135" t="str">
        <f t="shared" si="0"/>
        <v>L2-5</v>
      </c>
    </row>
    <row r="40" spans="1:4">
      <c r="A40" s="139" t="s">
        <v>745</v>
      </c>
      <c r="B40" s="139" t="s">
        <v>56</v>
      </c>
      <c r="C40" s="139">
        <v>5</v>
      </c>
      <c r="D40" s="135" t="str">
        <f t="shared" si="0"/>
        <v>L2-5</v>
      </c>
    </row>
    <row r="41" spans="1:4">
      <c r="A41" s="139" t="s">
        <v>748</v>
      </c>
      <c r="B41" s="139" t="s">
        <v>56</v>
      </c>
      <c r="C41" s="139">
        <v>5</v>
      </c>
      <c r="D41" s="135" t="str">
        <f t="shared" si="0"/>
        <v>L2-5</v>
      </c>
    </row>
    <row r="42" spans="1:4">
      <c r="A42" s="139" t="s">
        <v>817</v>
      </c>
      <c r="B42" s="139" t="s">
        <v>56</v>
      </c>
      <c r="C42" s="139">
        <v>6</v>
      </c>
      <c r="D42" s="135" t="str">
        <f t="shared" si="0"/>
        <v>L2-6</v>
      </c>
    </row>
    <row r="43" spans="1:4">
      <c r="A43" s="139" t="s">
        <v>814</v>
      </c>
      <c r="B43" s="139" t="s">
        <v>56</v>
      </c>
      <c r="C43" s="139">
        <v>6</v>
      </c>
      <c r="D43" s="135" t="str">
        <f t="shared" si="0"/>
        <v>L2-6</v>
      </c>
    </row>
    <row r="44" spans="1:4">
      <c r="A44" s="139" t="s">
        <v>820</v>
      </c>
      <c r="B44" s="139" t="s">
        <v>56</v>
      </c>
      <c r="C44" s="139">
        <v>6</v>
      </c>
      <c r="D44" s="135" t="str">
        <f t="shared" si="0"/>
        <v>L2-6</v>
      </c>
    </row>
    <row r="45" spans="1:4">
      <c r="A45" s="140" t="s">
        <v>354</v>
      </c>
      <c r="B45" s="139" t="s">
        <v>56</v>
      </c>
      <c r="C45" s="139">
        <v>9</v>
      </c>
      <c r="D45" s="135" t="str">
        <f t="shared" si="0"/>
        <v>L2-9</v>
      </c>
    </row>
    <row r="46" spans="1:4">
      <c r="A46" s="139" t="s">
        <v>434</v>
      </c>
      <c r="B46" s="139" t="s">
        <v>56</v>
      </c>
      <c r="C46" s="139">
        <v>9</v>
      </c>
      <c r="D46" s="135" t="str">
        <f t="shared" si="0"/>
        <v>L2-9</v>
      </c>
    </row>
    <row r="47" spans="1:4">
      <c r="A47" s="139" t="s">
        <v>441</v>
      </c>
      <c r="B47" s="139" t="s">
        <v>56</v>
      </c>
      <c r="C47" s="139">
        <v>9</v>
      </c>
      <c r="D47" s="135" t="str">
        <f t="shared" si="0"/>
        <v>L2-9</v>
      </c>
    </row>
    <row r="48" spans="1:4">
      <c r="A48" s="139" t="s">
        <v>321</v>
      </c>
      <c r="B48" s="139" t="s">
        <v>56</v>
      </c>
      <c r="C48" s="139">
        <v>9</v>
      </c>
      <c r="D48" s="135" t="str">
        <f t="shared" si="0"/>
        <v>L2-9</v>
      </c>
    </row>
    <row r="49" spans="1:4">
      <c r="A49" s="139" t="s">
        <v>881</v>
      </c>
      <c r="B49" s="139" t="s">
        <v>56</v>
      </c>
      <c r="C49" s="139">
        <v>9</v>
      </c>
      <c r="D49" s="135" t="str">
        <f t="shared" si="0"/>
        <v>L2-9</v>
      </c>
    </row>
    <row r="50" spans="1:4">
      <c r="A50" s="139" t="s">
        <v>757</v>
      </c>
      <c r="B50" s="139" t="s">
        <v>56</v>
      </c>
      <c r="C50" s="139">
        <v>9</v>
      </c>
      <c r="D50" s="135" t="str">
        <f t="shared" si="0"/>
        <v>L2-9</v>
      </c>
    </row>
    <row r="51" spans="1:4">
      <c r="A51" s="139" t="s">
        <v>878</v>
      </c>
      <c r="B51" s="139" t="s">
        <v>56</v>
      </c>
      <c r="C51" s="139">
        <v>9</v>
      </c>
      <c r="D51" s="135" t="str">
        <f t="shared" si="0"/>
        <v>L2-9</v>
      </c>
    </row>
    <row r="52" spans="1:4">
      <c r="A52" s="139" t="s">
        <v>324</v>
      </c>
      <c r="B52" s="139" t="s">
        <v>57</v>
      </c>
      <c r="C52" s="139">
        <v>1</v>
      </c>
      <c r="D52" s="135" t="str">
        <f t="shared" si="0"/>
        <v>L3-1</v>
      </c>
    </row>
    <row r="53" spans="1:4">
      <c r="A53" s="139" t="s">
        <v>691</v>
      </c>
      <c r="B53" s="139" t="s">
        <v>57</v>
      </c>
      <c r="C53" s="139">
        <v>1</v>
      </c>
      <c r="D53" s="135" t="str">
        <f t="shared" si="0"/>
        <v>L3-1</v>
      </c>
    </row>
    <row r="54" spans="1:4">
      <c r="A54" s="139" t="s">
        <v>694</v>
      </c>
      <c r="B54" s="139" t="s">
        <v>57</v>
      </c>
      <c r="C54" s="139">
        <v>1</v>
      </c>
      <c r="D54" s="135" t="str">
        <f t="shared" si="0"/>
        <v>L3-1</v>
      </c>
    </row>
    <row r="55" spans="1:4">
      <c r="A55" s="139" t="s">
        <v>698</v>
      </c>
      <c r="B55" s="139" t="s">
        <v>57</v>
      </c>
      <c r="C55" s="139">
        <v>1</v>
      </c>
      <c r="D55" s="135" t="str">
        <f t="shared" si="0"/>
        <v>L3-1</v>
      </c>
    </row>
    <row r="56" spans="1:4">
      <c r="A56" s="139" t="s">
        <v>701</v>
      </c>
      <c r="B56" s="139" t="s">
        <v>57</v>
      </c>
      <c r="C56" s="139">
        <v>1</v>
      </c>
      <c r="D56" s="135" t="str">
        <f t="shared" si="0"/>
        <v>L3-1</v>
      </c>
    </row>
    <row r="57" spans="1:4">
      <c r="A57" s="139" t="s">
        <v>704</v>
      </c>
      <c r="B57" s="139" t="s">
        <v>57</v>
      </c>
      <c r="C57" s="139">
        <v>1</v>
      </c>
      <c r="D57" s="135" t="str">
        <f t="shared" si="0"/>
        <v>L3-1</v>
      </c>
    </row>
    <row r="58" spans="1:4">
      <c r="A58" s="139" t="s">
        <v>707</v>
      </c>
      <c r="B58" s="139" t="s">
        <v>57</v>
      </c>
      <c r="C58" s="139">
        <v>1</v>
      </c>
      <c r="D58" s="135" t="str">
        <f t="shared" si="0"/>
        <v>L3-1</v>
      </c>
    </row>
    <row r="59" spans="1:4">
      <c r="A59" s="139" t="s">
        <v>351</v>
      </c>
      <c r="B59" s="139" t="s">
        <v>57</v>
      </c>
      <c r="C59" s="139">
        <v>2</v>
      </c>
      <c r="D59" s="135" t="str">
        <f t="shared" si="0"/>
        <v>L3-2</v>
      </c>
    </row>
    <row r="60" spans="1:4">
      <c r="A60" s="139" t="s">
        <v>346</v>
      </c>
      <c r="B60" s="139" t="s">
        <v>57</v>
      </c>
      <c r="C60" s="139">
        <v>2</v>
      </c>
      <c r="D60" s="135" t="str">
        <f t="shared" si="0"/>
        <v>L3-2</v>
      </c>
    </row>
    <row r="61" spans="1:4">
      <c r="A61" s="139" t="s">
        <v>334</v>
      </c>
      <c r="B61" s="139" t="s">
        <v>57</v>
      </c>
      <c r="C61" s="139">
        <v>2</v>
      </c>
      <c r="D61" s="135" t="str">
        <f t="shared" si="0"/>
        <v>L3-2</v>
      </c>
    </row>
    <row r="62" spans="1:4">
      <c r="A62" s="139" t="s">
        <v>710</v>
      </c>
      <c r="B62" s="139" t="s">
        <v>57</v>
      </c>
      <c r="C62" s="139">
        <v>2</v>
      </c>
      <c r="D62" s="135" t="str">
        <f t="shared" si="0"/>
        <v>L3-2</v>
      </c>
    </row>
    <row r="63" spans="1:4">
      <c r="A63" s="139" t="s">
        <v>363</v>
      </c>
      <c r="B63" s="139" t="s">
        <v>57</v>
      </c>
      <c r="C63" s="139">
        <v>2</v>
      </c>
      <c r="D63" s="135" t="str">
        <f t="shared" si="0"/>
        <v>L3-2</v>
      </c>
    </row>
    <row r="64" spans="1:4">
      <c r="A64" s="139" t="s">
        <v>342</v>
      </c>
      <c r="B64" s="139" t="s">
        <v>57</v>
      </c>
      <c r="C64" s="139">
        <v>2</v>
      </c>
      <c r="D64" s="135" t="str">
        <f t="shared" si="0"/>
        <v>L3-2</v>
      </c>
    </row>
    <row r="65" spans="1:4">
      <c r="A65" s="139" t="s">
        <v>336</v>
      </c>
      <c r="B65" s="139" t="s">
        <v>57</v>
      </c>
      <c r="C65" s="139">
        <v>2</v>
      </c>
      <c r="D65" s="135" t="str">
        <f t="shared" si="0"/>
        <v>L3-2</v>
      </c>
    </row>
    <row r="66" spans="1:4">
      <c r="A66" s="139" t="s">
        <v>338</v>
      </c>
      <c r="B66" s="139" t="s">
        <v>57</v>
      </c>
      <c r="C66" s="139">
        <v>2</v>
      </c>
      <c r="D66" s="135" t="str">
        <f t="shared" ref="D66:D129" si="1">B66&amp;"-"&amp;C66</f>
        <v>L3-2</v>
      </c>
    </row>
    <row r="67" spans="1:4">
      <c r="A67" s="139" t="s">
        <v>349</v>
      </c>
      <c r="B67" s="139" t="s">
        <v>57</v>
      </c>
      <c r="C67" s="139">
        <v>2</v>
      </c>
      <c r="D67" s="135" t="str">
        <f t="shared" si="1"/>
        <v>L3-2</v>
      </c>
    </row>
    <row r="68" spans="1:4">
      <c r="A68" s="139" t="s">
        <v>426</v>
      </c>
      <c r="B68" s="139" t="s">
        <v>57</v>
      </c>
      <c r="C68" s="139">
        <v>3</v>
      </c>
      <c r="D68" s="135" t="str">
        <f t="shared" si="1"/>
        <v>L3-3</v>
      </c>
    </row>
    <row r="69" spans="1:4">
      <c r="A69" s="139" t="s">
        <v>1396</v>
      </c>
      <c r="B69" s="139" t="s">
        <v>57</v>
      </c>
      <c r="C69" s="139">
        <v>3</v>
      </c>
      <c r="D69" s="135" t="str">
        <f t="shared" si="1"/>
        <v>L3-3</v>
      </c>
    </row>
    <row r="70" spans="1:4">
      <c r="A70" s="139" t="s">
        <v>429</v>
      </c>
      <c r="B70" s="139" t="s">
        <v>57</v>
      </c>
      <c r="C70" s="139">
        <v>3</v>
      </c>
      <c r="D70" s="135" t="str">
        <f t="shared" si="1"/>
        <v>L3-3</v>
      </c>
    </row>
    <row r="71" spans="1:4">
      <c r="A71" s="139" t="s">
        <v>714</v>
      </c>
      <c r="B71" s="139" t="s">
        <v>57</v>
      </c>
      <c r="C71" s="139">
        <v>3</v>
      </c>
      <c r="D71" s="135" t="str">
        <f t="shared" si="1"/>
        <v>L3-3</v>
      </c>
    </row>
    <row r="72" spans="1:4">
      <c r="A72" s="139" t="s">
        <v>405</v>
      </c>
      <c r="B72" s="139" t="s">
        <v>57</v>
      </c>
      <c r="C72" s="139">
        <v>3</v>
      </c>
      <c r="D72" s="135" t="str">
        <f t="shared" si="1"/>
        <v>L3-3</v>
      </c>
    </row>
    <row r="73" spans="1:4">
      <c r="A73" s="139" t="s">
        <v>408</v>
      </c>
      <c r="B73" s="139" t="s">
        <v>57</v>
      </c>
      <c r="C73" s="139">
        <v>3</v>
      </c>
      <c r="D73" s="135" t="str">
        <f t="shared" si="1"/>
        <v>L3-3</v>
      </c>
    </row>
    <row r="74" spans="1:4">
      <c r="A74" s="139" t="s">
        <v>717</v>
      </c>
      <c r="B74" s="139" t="s">
        <v>57</v>
      </c>
      <c r="C74" s="139">
        <v>3</v>
      </c>
      <c r="D74" s="135" t="str">
        <f t="shared" si="1"/>
        <v>L3-3</v>
      </c>
    </row>
    <row r="75" spans="1:4">
      <c r="A75" s="139" t="s">
        <v>673</v>
      </c>
      <c r="B75" s="139" t="s">
        <v>57</v>
      </c>
      <c r="C75" s="139">
        <v>3</v>
      </c>
      <c r="D75" s="135" t="str">
        <f t="shared" si="1"/>
        <v>L3-3</v>
      </c>
    </row>
    <row r="76" spans="1:4">
      <c r="A76" s="139" t="s">
        <v>360</v>
      </c>
      <c r="B76" s="139" t="s">
        <v>57</v>
      </c>
      <c r="C76" s="139">
        <v>3</v>
      </c>
      <c r="D76" s="135" t="str">
        <f t="shared" si="1"/>
        <v>L3-3</v>
      </c>
    </row>
    <row r="77" spans="1:4">
      <c r="A77" s="139" t="s">
        <v>432</v>
      </c>
      <c r="B77" s="139" t="s">
        <v>57</v>
      </c>
      <c r="C77" s="139">
        <v>3</v>
      </c>
      <c r="D77" s="135" t="str">
        <f t="shared" si="1"/>
        <v>L3-3</v>
      </c>
    </row>
    <row r="78" spans="1:4">
      <c r="A78" s="139" t="s">
        <v>720</v>
      </c>
      <c r="B78" s="139" t="s">
        <v>57</v>
      </c>
      <c r="C78" s="139">
        <v>4</v>
      </c>
      <c r="D78" s="135" t="str">
        <f t="shared" si="1"/>
        <v>L3-4</v>
      </c>
    </row>
    <row r="79" spans="1:4">
      <c r="A79" s="139" t="s">
        <v>723</v>
      </c>
      <c r="B79" s="139" t="s">
        <v>57</v>
      </c>
      <c r="C79" s="139">
        <v>4</v>
      </c>
      <c r="D79" s="135" t="str">
        <f t="shared" si="1"/>
        <v>L3-4</v>
      </c>
    </row>
    <row r="80" spans="1:4">
      <c r="A80" s="139" t="s">
        <v>772</v>
      </c>
      <c r="B80" s="139" t="s">
        <v>57</v>
      </c>
      <c r="C80" s="139">
        <v>4</v>
      </c>
      <c r="D80" s="135" t="str">
        <f t="shared" si="1"/>
        <v>L3-4</v>
      </c>
    </row>
    <row r="81" spans="1:4">
      <c r="A81" s="139" t="s">
        <v>371</v>
      </c>
      <c r="B81" s="139" t="s">
        <v>57</v>
      </c>
      <c r="C81" s="139">
        <v>5</v>
      </c>
      <c r="D81" s="135" t="str">
        <f t="shared" si="1"/>
        <v>L3-5</v>
      </c>
    </row>
    <row r="82" spans="1:4">
      <c r="A82" s="139" t="s">
        <v>727</v>
      </c>
      <c r="B82" s="139" t="s">
        <v>57</v>
      </c>
      <c r="C82" s="139">
        <v>5</v>
      </c>
      <c r="D82" s="135" t="str">
        <f t="shared" si="1"/>
        <v>L3-5</v>
      </c>
    </row>
    <row r="83" spans="1:4">
      <c r="A83" s="139" t="s">
        <v>730</v>
      </c>
      <c r="B83" s="139" t="s">
        <v>57</v>
      </c>
      <c r="C83" s="139">
        <v>5</v>
      </c>
      <c r="D83" s="135" t="str">
        <f t="shared" si="1"/>
        <v>L3-5</v>
      </c>
    </row>
    <row r="84" spans="1:4">
      <c r="A84" s="139" t="s">
        <v>368</v>
      </c>
      <c r="B84" s="139" t="s">
        <v>57</v>
      </c>
      <c r="C84" s="139">
        <v>5</v>
      </c>
      <c r="D84" s="135" t="str">
        <f t="shared" si="1"/>
        <v>L3-5</v>
      </c>
    </row>
    <row r="85" spans="1:4">
      <c r="A85" s="139" t="s">
        <v>725</v>
      </c>
      <c r="B85" s="139" t="s">
        <v>57</v>
      </c>
      <c r="C85" s="139">
        <v>5</v>
      </c>
      <c r="D85" s="135" t="str">
        <f t="shared" si="1"/>
        <v>L3-5</v>
      </c>
    </row>
    <row r="86" spans="1:4">
      <c r="A86" s="139" t="s">
        <v>365</v>
      </c>
      <c r="B86" s="139" t="s">
        <v>57</v>
      </c>
      <c r="C86" s="139">
        <v>5</v>
      </c>
      <c r="D86" s="135" t="str">
        <f t="shared" si="1"/>
        <v>L3-5</v>
      </c>
    </row>
    <row r="87" spans="1:4">
      <c r="A87" s="139" t="s">
        <v>2408</v>
      </c>
      <c r="B87" s="139" t="s">
        <v>57</v>
      </c>
      <c r="C87" s="139">
        <v>6</v>
      </c>
      <c r="D87" s="135" t="str">
        <f t="shared" si="1"/>
        <v>L3-6</v>
      </c>
    </row>
    <row r="88" spans="1:4">
      <c r="A88" s="139" t="s">
        <v>377</v>
      </c>
      <c r="B88" s="139" t="s">
        <v>59</v>
      </c>
      <c r="C88" s="139">
        <v>1</v>
      </c>
      <c r="D88" s="135" t="str">
        <f t="shared" si="1"/>
        <v>L4-1</v>
      </c>
    </row>
    <row r="89" spans="1:4">
      <c r="A89" s="139" t="s">
        <v>375</v>
      </c>
      <c r="B89" s="139" t="s">
        <v>59</v>
      </c>
      <c r="C89" s="139">
        <v>1</v>
      </c>
      <c r="D89" s="135" t="str">
        <f t="shared" si="1"/>
        <v>L4-1</v>
      </c>
    </row>
    <row r="90" spans="1:4">
      <c r="A90" s="139" t="s">
        <v>379</v>
      </c>
      <c r="B90" s="139" t="s">
        <v>59</v>
      </c>
      <c r="C90" s="139">
        <v>1</v>
      </c>
      <c r="D90" s="135" t="str">
        <f t="shared" si="1"/>
        <v>L4-1</v>
      </c>
    </row>
    <row r="91" spans="1:4">
      <c r="A91" s="139" t="s">
        <v>654</v>
      </c>
      <c r="B91" s="139" t="s">
        <v>59</v>
      </c>
      <c r="C91" s="139">
        <v>2</v>
      </c>
      <c r="D91" s="135" t="str">
        <f t="shared" si="1"/>
        <v>L4-2</v>
      </c>
    </row>
    <row r="92" spans="1:4">
      <c r="A92" s="139" t="s">
        <v>645</v>
      </c>
      <c r="B92" s="139" t="s">
        <v>59</v>
      </c>
      <c r="C92" s="139">
        <v>2</v>
      </c>
      <c r="D92" s="135" t="str">
        <f t="shared" si="1"/>
        <v>L4-2</v>
      </c>
    </row>
    <row r="93" spans="1:4">
      <c r="A93" s="139" t="s">
        <v>681</v>
      </c>
      <c r="B93" s="139" t="s">
        <v>59</v>
      </c>
      <c r="C93" s="139">
        <v>2</v>
      </c>
      <c r="D93" s="135" t="str">
        <f t="shared" si="1"/>
        <v>L4-2</v>
      </c>
    </row>
    <row r="94" spans="1:4">
      <c r="A94" s="139" t="s">
        <v>663</v>
      </c>
      <c r="B94" s="139" t="s">
        <v>59</v>
      </c>
      <c r="C94" s="139">
        <v>2</v>
      </c>
      <c r="D94" s="135" t="str">
        <f t="shared" si="1"/>
        <v>L4-2</v>
      </c>
    </row>
    <row r="95" spans="1:4">
      <c r="A95" s="139" t="s">
        <v>830</v>
      </c>
      <c r="B95" s="139" t="s">
        <v>59</v>
      </c>
      <c r="C95" s="139">
        <v>3</v>
      </c>
      <c r="D95" s="135" t="str">
        <f t="shared" si="1"/>
        <v>L4-3</v>
      </c>
    </row>
    <row r="96" spans="1:4">
      <c r="A96" s="139" t="s">
        <v>828</v>
      </c>
      <c r="B96" s="139" t="s">
        <v>59</v>
      </c>
      <c r="C96" s="139">
        <v>3</v>
      </c>
      <c r="D96" s="135" t="str">
        <f t="shared" si="1"/>
        <v>L4-3</v>
      </c>
    </row>
    <row r="97" spans="1:4">
      <c r="A97" s="139" t="s">
        <v>832</v>
      </c>
      <c r="B97" s="139" t="s">
        <v>59</v>
      </c>
      <c r="C97" s="139">
        <v>3</v>
      </c>
      <c r="D97" s="135" t="str">
        <f t="shared" si="1"/>
        <v>L4-3</v>
      </c>
    </row>
    <row r="98" spans="1:4">
      <c r="A98" s="139" t="s">
        <v>826</v>
      </c>
      <c r="B98" s="139" t="s">
        <v>59</v>
      </c>
      <c r="C98" s="139">
        <v>3</v>
      </c>
      <c r="D98" s="135" t="str">
        <f t="shared" si="1"/>
        <v>L4-3</v>
      </c>
    </row>
    <row r="99" spans="1:4">
      <c r="A99" s="139" t="s">
        <v>839</v>
      </c>
      <c r="B99" s="139" t="s">
        <v>59</v>
      </c>
      <c r="C99" s="139">
        <v>3</v>
      </c>
      <c r="D99" s="135" t="str">
        <f t="shared" si="1"/>
        <v>L4-3</v>
      </c>
    </row>
    <row r="100" spans="1:4">
      <c r="A100" s="139" t="s">
        <v>389</v>
      </c>
      <c r="B100" s="139" t="s">
        <v>59</v>
      </c>
      <c r="C100" s="139">
        <v>4</v>
      </c>
      <c r="D100" s="135" t="str">
        <f t="shared" si="1"/>
        <v>L4-4</v>
      </c>
    </row>
    <row r="101" spans="1:4">
      <c r="A101" s="139" t="s">
        <v>401</v>
      </c>
      <c r="B101" s="139" t="s">
        <v>59</v>
      </c>
      <c r="C101" s="139">
        <v>4</v>
      </c>
      <c r="D101" s="135" t="str">
        <f t="shared" si="1"/>
        <v>L4-4</v>
      </c>
    </row>
    <row r="102" spans="1:4">
      <c r="A102" s="139" t="s">
        <v>385</v>
      </c>
      <c r="B102" s="139" t="s">
        <v>59</v>
      </c>
      <c r="C102" s="139">
        <v>4</v>
      </c>
      <c r="D102" s="135" t="str">
        <f t="shared" si="1"/>
        <v>L4-4</v>
      </c>
    </row>
    <row r="103" spans="1:4">
      <c r="A103" s="139" t="s">
        <v>397</v>
      </c>
      <c r="B103" s="139" t="s">
        <v>59</v>
      </c>
      <c r="C103" s="139">
        <v>4</v>
      </c>
      <c r="D103" s="135" t="str">
        <f t="shared" si="1"/>
        <v>L4-4</v>
      </c>
    </row>
    <row r="104" spans="1:4">
      <c r="A104" s="139" t="s">
        <v>391</v>
      </c>
      <c r="B104" s="139" t="s">
        <v>59</v>
      </c>
      <c r="C104" s="139">
        <v>4</v>
      </c>
      <c r="D104" s="135" t="str">
        <f t="shared" si="1"/>
        <v>L4-4</v>
      </c>
    </row>
    <row r="105" spans="1:4">
      <c r="A105" s="139" t="s">
        <v>471</v>
      </c>
      <c r="B105" s="139" t="s">
        <v>59</v>
      </c>
      <c r="C105" s="139">
        <v>4</v>
      </c>
      <c r="D105" s="135" t="str">
        <f t="shared" si="1"/>
        <v>L4-4</v>
      </c>
    </row>
    <row r="106" spans="1:4">
      <c r="A106" s="139" t="s">
        <v>479</v>
      </c>
      <c r="B106" s="139" t="s">
        <v>59</v>
      </c>
      <c r="C106" s="139">
        <v>4</v>
      </c>
      <c r="D106" s="135" t="str">
        <f t="shared" si="1"/>
        <v>L4-4</v>
      </c>
    </row>
    <row r="107" spans="1:4">
      <c r="A107" s="139" t="s">
        <v>481</v>
      </c>
      <c r="B107" s="139" t="s">
        <v>59</v>
      </c>
      <c r="C107" s="139">
        <v>4</v>
      </c>
      <c r="D107" s="135" t="str">
        <f t="shared" si="1"/>
        <v>L4-4</v>
      </c>
    </row>
    <row r="108" spans="1:4">
      <c r="A108" s="139" t="s">
        <v>671</v>
      </c>
      <c r="B108" s="139" t="s">
        <v>59</v>
      </c>
      <c r="C108" s="139">
        <v>4</v>
      </c>
      <c r="D108" s="135" t="str">
        <f t="shared" si="1"/>
        <v>L4-4</v>
      </c>
    </row>
    <row r="109" spans="1:4">
      <c r="A109" s="139" t="s">
        <v>395</v>
      </c>
      <c r="B109" s="139" t="s">
        <v>59</v>
      </c>
      <c r="C109" s="139">
        <v>4</v>
      </c>
      <c r="D109" s="135" t="str">
        <f t="shared" si="1"/>
        <v>L4-4</v>
      </c>
    </row>
    <row r="110" spans="1:4">
      <c r="A110" s="139" t="s">
        <v>403</v>
      </c>
      <c r="B110" s="139" t="s">
        <v>59</v>
      </c>
      <c r="C110" s="139">
        <v>4</v>
      </c>
      <c r="D110" s="135" t="str">
        <f t="shared" si="1"/>
        <v>L4-4</v>
      </c>
    </row>
    <row r="111" spans="1:4">
      <c r="A111" s="139" t="s">
        <v>474</v>
      </c>
      <c r="B111" s="139" t="s">
        <v>59</v>
      </c>
      <c r="C111" s="139">
        <v>4</v>
      </c>
      <c r="D111" s="135" t="str">
        <f t="shared" si="1"/>
        <v>L4-4</v>
      </c>
    </row>
    <row r="112" spans="1:4">
      <c r="A112" s="139" t="s">
        <v>632</v>
      </c>
      <c r="B112" s="139" t="s">
        <v>59</v>
      </c>
      <c r="C112" s="139">
        <v>5</v>
      </c>
      <c r="D112" s="135" t="str">
        <f t="shared" si="1"/>
        <v>L4-5</v>
      </c>
    </row>
    <row r="113" spans="1:4">
      <c r="A113" s="139" t="s">
        <v>636</v>
      </c>
      <c r="B113" s="139" t="s">
        <v>59</v>
      </c>
      <c r="C113" s="139">
        <v>5</v>
      </c>
      <c r="D113" s="135" t="str">
        <f t="shared" si="1"/>
        <v>L4-5</v>
      </c>
    </row>
    <row r="114" spans="1:4">
      <c r="A114" s="139" t="s">
        <v>643</v>
      </c>
      <c r="B114" s="139" t="s">
        <v>59</v>
      </c>
      <c r="C114" s="139">
        <v>5</v>
      </c>
      <c r="D114" s="135" t="str">
        <f t="shared" si="1"/>
        <v>L4-5</v>
      </c>
    </row>
    <row r="115" spans="1:4">
      <c r="A115" s="139" t="s">
        <v>648</v>
      </c>
      <c r="B115" s="139" t="s">
        <v>59</v>
      </c>
      <c r="C115" s="139">
        <v>5</v>
      </c>
      <c r="D115" s="135" t="str">
        <f t="shared" si="1"/>
        <v>L4-5</v>
      </c>
    </row>
    <row r="116" spans="1:4">
      <c r="A116" s="139" t="s">
        <v>634</v>
      </c>
      <c r="B116" s="139" t="s">
        <v>59</v>
      </c>
      <c r="C116" s="139">
        <v>5</v>
      </c>
      <c r="D116" s="135" t="str">
        <f t="shared" si="1"/>
        <v>L4-5</v>
      </c>
    </row>
    <row r="117" spans="1:4">
      <c r="A117" s="139" t="s">
        <v>638</v>
      </c>
      <c r="B117" s="139" t="s">
        <v>59</v>
      </c>
      <c r="C117" s="139">
        <v>5</v>
      </c>
      <c r="D117" s="135" t="str">
        <f t="shared" si="1"/>
        <v>L4-5</v>
      </c>
    </row>
    <row r="118" spans="1:4">
      <c r="A118" s="139" t="s">
        <v>445</v>
      </c>
      <c r="B118" s="139" t="s">
        <v>59</v>
      </c>
      <c r="C118" s="139">
        <v>6</v>
      </c>
      <c r="D118" s="135" t="str">
        <f t="shared" si="1"/>
        <v>L4-6</v>
      </c>
    </row>
    <row r="119" spans="1:4">
      <c r="A119" s="139" t="s">
        <v>450</v>
      </c>
      <c r="B119" s="139" t="s">
        <v>59</v>
      </c>
      <c r="C119" s="139">
        <v>6</v>
      </c>
      <c r="D119" s="135" t="str">
        <f t="shared" si="1"/>
        <v>L4-6</v>
      </c>
    </row>
    <row r="120" spans="1:4">
      <c r="A120" s="139" t="s">
        <v>452</v>
      </c>
      <c r="B120" s="139" t="s">
        <v>59</v>
      </c>
      <c r="C120" s="139">
        <v>6</v>
      </c>
      <c r="D120" s="135" t="str">
        <f t="shared" si="1"/>
        <v>L4-6</v>
      </c>
    </row>
    <row r="121" spans="1:4">
      <c r="A121" s="139" t="s">
        <v>456</v>
      </c>
      <c r="B121" s="139" t="s">
        <v>59</v>
      </c>
      <c r="C121" s="139">
        <v>6</v>
      </c>
      <c r="D121" s="135" t="str">
        <f t="shared" si="1"/>
        <v>L4-6</v>
      </c>
    </row>
    <row r="122" spans="1:4">
      <c r="A122" s="139" t="s">
        <v>458</v>
      </c>
      <c r="B122" s="139" t="s">
        <v>59</v>
      </c>
      <c r="C122" s="139">
        <v>6</v>
      </c>
      <c r="D122" s="135" t="str">
        <f t="shared" si="1"/>
        <v>L4-6</v>
      </c>
    </row>
    <row r="123" spans="1:4">
      <c r="A123" s="139" t="s">
        <v>761</v>
      </c>
      <c r="B123" s="139" t="s">
        <v>59</v>
      </c>
      <c r="C123" s="139">
        <v>6</v>
      </c>
      <c r="D123" s="135" t="str">
        <f t="shared" si="1"/>
        <v>L4-6</v>
      </c>
    </row>
    <row r="124" spans="1:4">
      <c r="A124" s="139" t="s">
        <v>763</v>
      </c>
      <c r="B124" s="139" t="s">
        <v>59</v>
      </c>
      <c r="C124" s="139">
        <v>6</v>
      </c>
      <c r="D124" s="135" t="str">
        <f t="shared" si="1"/>
        <v>L4-6</v>
      </c>
    </row>
    <row r="125" spans="1:4">
      <c r="A125" s="139" t="s">
        <v>765</v>
      </c>
      <c r="B125" s="139" t="s">
        <v>59</v>
      </c>
      <c r="C125" s="139">
        <v>6</v>
      </c>
      <c r="D125" s="135" t="str">
        <f t="shared" si="1"/>
        <v>L4-6</v>
      </c>
    </row>
    <row r="126" spans="1:4">
      <c r="A126" s="139" t="s">
        <v>463</v>
      </c>
      <c r="B126" s="139" t="s">
        <v>59</v>
      </c>
      <c r="C126" s="139">
        <v>6</v>
      </c>
      <c r="D126" s="135" t="str">
        <f t="shared" si="1"/>
        <v>L4-6</v>
      </c>
    </row>
    <row r="127" spans="1:4">
      <c r="A127" s="139" t="s">
        <v>465</v>
      </c>
      <c r="B127" s="139" t="s">
        <v>59</v>
      </c>
      <c r="C127" s="139">
        <v>6</v>
      </c>
      <c r="D127" s="135" t="str">
        <f t="shared" si="1"/>
        <v>L4-6</v>
      </c>
    </row>
    <row r="128" spans="1:4">
      <c r="A128" s="139" t="s">
        <v>460</v>
      </c>
      <c r="B128" s="139" t="s">
        <v>59</v>
      </c>
      <c r="C128" s="139">
        <v>6</v>
      </c>
      <c r="D128" s="135" t="str">
        <f t="shared" si="1"/>
        <v>L4-6</v>
      </c>
    </row>
    <row r="129" spans="1:4">
      <c r="A129" s="139" t="s">
        <v>469</v>
      </c>
      <c r="B129" s="139" t="s">
        <v>59</v>
      </c>
      <c r="C129" s="139">
        <v>6</v>
      </c>
      <c r="D129" s="135" t="str">
        <f t="shared" si="1"/>
        <v>L4-6</v>
      </c>
    </row>
    <row r="130" spans="1:4">
      <c r="A130" s="139" t="s">
        <v>424</v>
      </c>
      <c r="B130" s="139" t="s">
        <v>59</v>
      </c>
      <c r="C130" s="139">
        <v>7</v>
      </c>
      <c r="D130" s="135" t="str">
        <f t="shared" ref="D130:D193" si="2">B130&amp;"-"&amp;C130</f>
        <v>L4-7</v>
      </c>
    </row>
    <row r="131" spans="1:4">
      <c r="A131" s="139" t="s">
        <v>687</v>
      </c>
      <c r="B131" s="139" t="s">
        <v>59</v>
      </c>
      <c r="C131" s="139">
        <v>7</v>
      </c>
      <c r="D131" s="135" t="str">
        <f t="shared" si="2"/>
        <v>L4-7</v>
      </c>
    </row>
    <row r="132" spans="1:4">
      <c r="A132" s="139" t="s">
        <v>689</v>
      </c>
      <c r="B132" s="139" t="s">
        <v>59</v>
      </c>
      <c r="C132" s="139">
        <v>7</v>
      </c>
      <c r="D132" s="135" t="str">
        <f t="shared" si="2"/>
        <v>L4-7</v>
      </c>
    </row>
    <row r="133" spans="1:4">
      <c r="A133" s="139" t="s">
        <v>995</v>
      </c>
      <c r="B133" s="139" t="s">
        <v>61</v>
      </c>
      <c r="C133" s="139">
        <v>1</v>
      </c>
      <c r="D133" s="135" t="str">
        <f t="shared" si="2"/>
        <v>L5-1</v>
      </c>
    </row>
    <row r="134" spans="1:4">
      <c r="A134" s="139" t="s">
        <v>1003</v>
      </c>
      <c r="B134" s="139" t="s">
        <v>61</v>
      </c>
      <c r="C134" s="139">
        <v>1</v>
      </c>
      <c r="D134" s="135" t="str">
        <f t="shared" si="2"/>
        <v>L5-1</v>
      </c>
    </row>
    <row r="135" spans="1:4">
      <c r="A135" s="139" t="s">
        <v>965</v>
      </c>
      <c r="B135" s="139" t="s">
        <v>61</v>
      </c>
      <c r="C135" s="139">
        <v>1</v>
      </c>
      <c r="D135" s="135" t="str">
        <f t="shared" si="2"/>
        <v>L5-1</v>
      </c>
    </row>
    <row r="136" spans="1:4">
      <c r="A136" s="139" t="s">
        <v>975</v>
      </c>
      <c r="B136" s="139" t="s">
        <v>61</v>
      </c>
      <c r="C136" s="139">
        <v>1</v>
      </c>
      <c r="D136" s="135" t="str">
        <f t="shared" si="2"/>
        <v>L5-1</v>
      </c>
    </row>
    <row r="137" spans="1:4">
      <c r="A137" s="139" t="s">
        <v>983</v>
      </c>
      <c r="B137" s="139" t="s">
        <v>61</v>
      </c>
      <c r="C137" s="139">
        <v>1</v>
      </c>
      <c r="D137" s="135" t="str">
        <f t="shared" si="2"/>
        <v>L5-1</v>
      </c>
    </row>
    <row r="138" spans="1:4">
      <c r="A138" s="139" t="s">
        <v>989</v>
      </c>
      <c r="B138" s="139" t="s">
        <v>61</v>
      </c>
      <c r="C138" s="139">
        <v>1</v>
      </c>
      <c r="D138" s="135" t="str">
        <f t="shared" si="2"/>
        <v>L5-1</v>
      </c>
    </row>
    <row r="139" spans="1:4">
      <c r="A139" s="139" t="s">
        <v>999</v>
      </c>
      <c r="B139" s="139" t="s">
        <v>61</v>
      </c>
      <c r="C139" s="139">
        <v>1</v>
      </c>
      <c r="D139" s="135" t="str">
        <f t="shared" si="2"/>
        <v>L5-1</v>
      </c>
    </row>
    <row r="140" spans="1:4">
      <c r="A140" s="139" t="s">
        <v>1006</v>
      </c>
      <c r="B140" s="139" t="s">
        <v>61</v>
      </c>
      <c r="C140" s="139">
        <v>1</v>
      </c>
      <c r="D140" s="135" t="str">
        <f t="shared" si="2"/>
        <v>L5-1</v>
      </c>
    </row>
    <row r="141" spans="1:4">
      <c r="A141" s="139" t="s">
        <v>1028</v>
      </c>
      <c r="B141" s="139" t="s">
        <v>61</v>
      </c>
      <c r="C141" s="139">
        <v>2</v>
      </c>
      <c r="D141" s="135" t="str">
        <f t="shared" si="2"/>
        <v>L5-2</v>
      </c>
    </row>
    <row r="142" spans="1:4">
      <c r="A142" s="139" t="s">
        <v>1040</v>
      </c>
      <c r="B142" s="139" t="s">
        <v>61</v>
      </c>
      <c r="C142" s="139">
        <v>2</v>
      </c>
      <c r="D142" s="135" t="str">
        <f t="shared" si="2"/>
        <v>L5-2</v>
      </c>
    </row>
    <row r="143" spans="1:4">
      <c r="A143" s="139" t="s">
        <v>1032</v>
      </c>
      <c r="B143" s="139" t="s">
        <v>61</v>
      </c>
      <c r="C143" s="139">
        <v>2</v>
      </c>
      <c r="D143" s="135" t="str">
        <f t="shared" si="2"/>
        <v>L5-2</v>
      </c>
    </row>
    <row r="144" spans="1:4">
      <c r="A144" s="139" t="s">
        <v>1036</v>
      </c>
      <c r="B144" s="139" t="s">
        <v>61</v>
      </c>
      <c r="C144" s="139">
        <v>2</v>
      </c>
      <c r="D144" s="135" t="str">
        <f t="shared" si="2"/>
        <v>L5-2</v>
      </c>
    </row>
    <row r="145" spans="1:4">
      <c r="A145" s="139" t="s">
        <v>1026</v>
      </c>
      <c r="B145" s="139" t="s">
        <v>61</v>
      </c>
      <c r="C145" s="139">
        <v>2</v>
      </c>
      <c r="D145" s="135" t="str">
        <f t="shared" si="2"/>
        <v>L5-2</v>
      </c>
    </row>
    <row r="146" spans="1:4">
      <c r="A146" s="139" t="s">
        <v>1113</v>
      </c>
      <c r="B146" s="139" t="s">
        <v>61</v>
      </c>
      <c r="C146" s="139">
        <v>2</v>
      </c>
      <c r="D146" s="135" t="str">
        <f t="shared" si="2"/>
        <v>L5-2</v>
      </c>
    </row>
    <row r="147" spans="1:4">
      <c r="A147" s="139" t="s">
        <v>1426</v>
      </c>
      <c r="B147" s="139" t="s">
        <v>61</v>
      </c>
      <c r="C147" s="139">
        <v>2</v>
      </c>
      <c r="D147" s="135" t="str">
        <f t="shared" si="2"/>
        <v>L5-2</v>
      </c>
    </row>
    <row r="148" spans="1:4">
      <c r="A148" s="139" t="s">
        <v>1115</v>
      </c>
      <c r="B148" s="139" t="s">
        <v>61</v>
      </c>
      <c r="C148" s="139">
        <v>2</v>
      </c>
      <c r="D148" s="135" t="str">
        <f t="shared" si="2"/>
        <v>L5-2</v>
      </c>
    </row>
    <row r="149" spans="1:4">
      <c r="A149" s="139" t="s">
        <v>1429</v>
      </c>
      <c r="B149" s="139" t="s">
        <v>61</v>
      </c>
      <c r="C149" s="139">
        <v>2</v>
      </c>
      <c r="D149" s="135" t="str">
        <f t="shared" si="2"/>
        <v>L5-2</v>
      </c>
    </row>
    <row r="150" spans="1:4">
      <c r="A150" s="139" t="s">
        <v>1117</v>
      </c>
      <c r="B150" s="139" t="s">
        <v>61</v>
      </c>
      <c r="C150" s="139">
        <v>2</v>
      </c>
      <c r="D150" s="135" t="str">
        <f t="shared" si="2"/>
        <v>L5-2</v>
      </c>
    </row>
    <row r="151" spans="1:4">
      <c r="A151" s="139" t="s">
        <v>1080</v>
      </c>
      <c r="B151" s="139" t="s">
        <v>61</v>
      </c>
      <c r="C151" s="139">
        <v>3</v>
      </c>
      <c r="D151" s="135" t="str">
        <f t="shared" si="2"/>
        <v>L5-3</v>
      </c>
    </row>
    <row r="152" spans="1:4">
      <c r="A152" s="139" t="s">
        <v>1087</v>
      </c>
      <c r="B152" s="139" t="s">
        <v>61</v>
      </c>
      <c r="C152" s="139">
        <v>3</v>
      </c>
      <c r="D152" s="135" t="str">
        <f t="shared" si="2"/>
        <v>L5-3</v>
      </c>
    </row>
    <row r="153" spans="1:4">
      <c r="A153" s="139" t="s">
        <v>1101</v>
      </c>
      <c r="B153" s="139" t="s">
        <v>61</v>
      </c>
      <c r="C153" s="139">
        <v>3</v>
      </c>
      <c r="D153" s="135" t="str">
        <f t="shared" si="2"/>
        <v>L5-3</v>
      </c>
    </row>
    <row r="154" spans="1:4">
      <c r="A154" s="139" t="s">
        <v>1107</v>
      </c>
      <c r="B154" s="139" t="s">
        <v>61</v>
      </c>
      <c r="C154" s="139">
        <v>3</v>
      </c>
      <c r="D154" s="135" t="str">
        <f t="shared" si="2"/>
        <v>L5-3</v>
      </c>
    </row>
    <row r="155" spans="1:4">
      <c r="A155" s="139" t="s">
        <v>2409</v>
      </c>
      <c r="B155" s="139" t="s">
        <v>61</v>
      </c>
      <c r="C155" s="139">
        <v>3</v>
      </c>
      <c r="D155" s="135" t="str">
        <f t="shared" si="2"/>
        <v>L5-3</v>
      </c>
    </row>
    <row r="156" spans="1:4">
      <c r="A156" s="139" t="s">
        <v>1095</v>
      </c>
      <c r="B156" s="139" t="s">
        <v>61</v>
      </c>
      <c r="C156" s="139">
        <v>3</v>
      </c>
      <c r="D156" s="135" t="str">
        <f t="shared" si="2"/>
        <v>L5-3</v>
      </c>
    </row>
    <row r="157" spans="1:4">
      <c r="A157" s="139" t="s">
        <v>1099</v>
      </c>
      <c r="B157" s="139" t="s">
        <v>61</v>
      </c>
      <c r="C157" s="139">
        <v>3</v>
      </c>
      <c r="D157" s="135" t="str">
        <f t="shared" si="2"/>
        <v>L5-3</v>
      </c>
    </row>
    <row r="158" spans="1:4">
      <c r="A158" s="139" t="s">
        <v>1105</v>
      </c>
      <c r="B158" s="139" t="s">
        <v>61</v>
      </c>
      <c r="C158" s="139">
        <v>3</v>
      </c>
      <c r="D158" s="135" t="str">
        <f t="shared" si="2"/>
        <v>L5-3</v>
      </c>
    </row>
    <row r="159" spans="1:4">
      <c r="A159" s="139" t="s">
        <v>2410</v>
      </c>
      <c r="B159" s="139" t="s">
        <v>61</v>
      </c>
      <c r="C159" s="139">
        <v>3</v>
      </c>
      <c r="D159" s="135" t="str">
        <f t="shared" si="2"/>
        <v>L5-3</v>
      </c>
    </row>
    <row r="160" spans="1:4">
      <c r="A160" s="139" t="s">
        <v>1415</v>
      </c>
      <c r="B160" s="139" t="s">
        <v>61</v>
      </c>
      <c r="C160" s="139">
        <v>3</v>
      </c>
      <c r="D160" s="135" t="str">
        <f t="shared" si="2"/>
        <v>L5-3</v>
      </c>
    </row>
    <row r="161" spans="1:4">
      <c r="A161" s="139" t="s">
        <v>1418</v>
      </c>
      <c r="B161" s="139" t="s">
        <v>61</v>
      </c>
      <c r="C161" s="139">
        <v>3</v>
      </c>
      <c r="D161" s="135" t="str">
        <f t="shared" si="2"/>
        <v>L5-3</v>
      </c>
    </row>
    <row r="162" spans="1:4">
      <c r="A162" s="139" t="s">
        <v>1420</v>
      </c>
      <c r="B162" s="139" t="s">
        <v>61</v>
      </c>
      <c r="C162" s="139">
        <v>3</v>
      </c>
      <c r="D162" s="135" t="str">
        <f t="shared" si="2"/>
        <v>L5-3</v>
      </c>
    </row>
    <row r="163" spans="1:4">
      <c r="A163" s="139" t="s">
        <v>1111</v>
      </c>
      <c r="B163" s="139" t="s">
        <v>61</v>
      </c>
      <c r="C163" s="139">
        <v>3</v>
      </c>
      <c r="D163" s="135" t="str">
        <f t="shared" si="2"/>
        <v>L5-3</v>
      </c>
    </row>
    <row r="164" spans="1:4">
      <c r="A164" s="139" t="s">
        <v>894</v>
      </c>
      <c r="B164" s="139" t="s">
        <v>61</v>
      </c>
      <c r="C164" s="139">
        <v>4</v>
      </c>
      <c r="D164" s="135" t="str">
        <f t="shared" si="2"/>
        <v>L5-4</v>
      </c>
    </row>
    <row r="165" spans="1:4">
      <c r="A165" s="139" t="s">
        <v>918</v>
      </c>
      <c r="B165" s="139" t="s">
        <v>61</v>
      </c>
      <c r="C165" s="139">
        <v>4</v>
      </c>
      <c r="D165" s="135" t="str">
        <f t="shared" si="2"/>
        <v>L5-4</v>
      </c>
    </row>
    <row r="166" spans="1:4">
      <c r="A166" s="139" t="s">
        <v>490</v>
      </c>
      <c r="B166" s="139" t="s">
        <v>61</v>
      </c>
      <c r="C166" s="139">
        <v>5</v>
      </c>
      <c r="D166" s="135" t="str">
        <f t="shared" si="2"/>
        <v>L5-5</v>
      </c>
    </row>
    <row r="167" spans="1:4">
      <c r="A167" s="139" t="s">
        <v>500</v>
      </c>
      <c r="B167" s="139" t="s">
        <v>61</v>
      </c>
      <c r="C167" s="139">
        <v>5</v>
      </c>
      <c r="D167" s="135" t="str">
        <f t="shared" si="2"/>
        <v>L5-5</v>
      </c>
    </row>
    <row r="168" spans="1:4">
      <c r="A168" s="139" t="s">
        <v>504</v>
      </c>
      <c r="B168" s="139" t="s">
        <v>61</v>
      </c>
      <c r="C168" s="139">
        <v>5</v>
      </c>
      <c r="D168" s="135" t="str">
        <f t="shared" si="2"/>
        <v>L5-5</v>
      </c>
    </row>
    <row r="169" spans="1:4">
      <c r="A169" s="139" t="s">
        <v>496</v>
      </c>
      <c r="B169" s="139" t="s">
        <v>61</v>
      </c>
      <c r="C169" s="139">
        <v>5</v>
      </c>
      <c r="D169" s="135" t="str">
        <f t="shared" si="2"/>
        <v>L5-5</v>
      </c>
    </row>
    <row r="170" spans="1:4">
      <c r="A170" s="139" t="s">
        <v>484</v>
      </c>
      <c r="B170" s="139" t="s">
        <v>61</v>
      </c>
      <c r="C170" s="139">
        <v>5</v>
      </c>
      <c r="D170" s="135" t="str">
        <f t="shared" si="2"/>
        <v>L5-5</v>
      </c>
    </row>
    <row r="171" spans="1:4">
      <c r="A171" s="139" t="s">
        <v>488</v>
      </c>
      <c r="B171" s="139" t="s">
        <v>61</v>
      </c>
      <c r="C171" s="139">
        <v>5</v>
      </c>
      <c r="D171" s="135" t="str">
        <f t="shared" si="2"/>
        <v>L5-5</v>
      </c>
    </row>
    <row r="172" spans="1:4">
      <c r="A172" s="139" t="s">
        <v>521</v>
      </c>
      <c r="B172" s="139" t="s">
        <v>61</v>
      </c>
      <c r="C172" s="139">
        <v>5</v>
      </c>
      <c r="D172" s="135" t="str">
        <f t="shared" si="2"/>
        <v>L5-5</v>
      </c>
    </row>
    <row r="173" spans="1:4">
      <c r="A173" s="139" t="s">
        <v>533</v>
      </c>
      <c r="B173" s="139" t="s">
        <v>61</v>
      </c>
      <c r="C173" s="139">
        <v>5</v>
      </c>
      <c r="D173" s="135" t="str">
        <f t="shared" si="2"/>
        <v>L5-5</v>
      </c>
    </row>
    <row r="174" spans="1:4">
      <c r="A174" s="139" t="s">
        <v>535</v>
      </c>
      <c r="B174" s="139" t="s">
        <v>61</v>
      </c>
      <c r="C174" s="139">
        <v>5</v>
      </c>
      <c r="D174" s="135" t="str">
        <f t="shared" si="2"/>
        <v>L5-5</v>
      </c>
    </row>
    <row r="175" spans="1:4">
      <c r="A175" s="139" t="s">
        <v>537</v>
      </c>
      <c r="B175" s="139" t="s">
        <v>61</v>
      </c>
      <c r="C175" s="139">
        <v>5</v>
      </c>
      <c r="D175" s="135" t="str">
        <f t="shared" si="2"/>
        <v>L5-5</v>
      </c>
    </row>
    <row r="176" spans="1:4">
      <c r="A176" s="139" t="s">
        <v>502</v>
      </c>
      <c r="B176" s="139" t="s">
        <v>61</v>
      </c>
      <c r="C176" s="139">
        <v>5</v>
      </c>
      <c r="D176" s="135" t="str">
        <f t="shared" si="2"/>
        <v>L5-5</v>
      </c>
    </row>
    <row r="177" spans="1:4">
      <c r="A177" s="139" t="s">
        <v>513</v>
      </c>
      <c r="B177" s="139" t="s">
        <v>61</v>
      </c>
      <c r="C177" s="139">
        <v>5</v>
      </c>
      <c r="D177" s="135" t="str">
        <f t="shared" si="2"/>
        <v>L5-5</v>
      </c>
    </row>
    <row r="178" spans="1:4">
      <c r="A178" s="139" t="s">
        <v>515</v>
      </c>
      <c r="B178" s="139" t="s">
        <v>61</v>
      </c>
      <c r="C178" s="139">
        <v>5</v>
      </c>
      <c r="D178" s="135" t="str">
        <f t="shared" si="2"/>
        <v>L5-5</v>
      </c>
    </row>
    <row r="179" spans="1:4">
      <c r="A179" s="139" t="s">
        <v>523</v>
      </c>
      <c r="B179" s="139" t="s">
        <v>61</v>
      </c>
      <c r="C179" s="139">
        <v>5</v>
      </c>
      <c r="D179" s="135" t="str">
        <f t="shared" si="2"/>
        <v>L5-5</v>
      </c>
    </row>
    <row r="180" spans="1:4">
      <c r="A180" s="139" t="s">
        <v>498</v>
      </c>
      <c r="B180" s="139" t="s">
        <v>61</v>
      </c>
      <c r="C180" s="139">
        <v>5</v>
      </c>
      <c r="D180" s="135" t="str">
        <f t="shared" si="2"/>
        <v>L5-5</v>
      </c>
    </row>
    <row r="181" spans="1:4">
      <c r="A181" s="139" t="s">
        <v>525</v>
      </c>
      <c r="B181" s="139" t="s">
        <v>61</v>
      </c>
      <c r="C181" s="139">
        <v>5</v>
      </c>
      <c r="D181" s="135" t="str">
        <f t="shared" si="2"/>
        <v>L5-5</v>
      </c>
    </row>
    <row r="182" spans="1:4">
      <c r="A182" s="139" t="s">
        <v>494</v>
      </c>
      <c r="B182" s="139" t="s">
        <v>61</v>
      </c>
      <c r="C182" s="139">
        <v>5</v>
      </c>
      <c r="D182" s="135" t="str">
        <f t="shared" si="2"/>
        <v>L5-5</v>
      </c>
    </row>
    <row r="183" spans="1:4">
      <c r="A183" s="139" t="s">
        <v>420</v>
      </c>
      <c r="B183" s="139" t="s">
        <v>63</v>
      </c>
      <c r="C183" s="139">
        <v>1</v>
      </c>
      <c r="D183" s="135" t="str">
        <f t="shared" si="2"/>
        <v>L6-1</v>
      </c>
    </row>
    <row r="184" spans="1:4">
      <c r="A184" s="139" t="s">
        <v>1131</v>
      </c>
      <c r="B184" s="139" t="s">
        <v>63</v>
      </c>
      <c r="C184" s="139">
        <v>1</v>
      </c>
      <c r="D184" s="135" t="str">
        <f t="shared" si="2"/>
        <v>L6-1</v>
      </c>
    </row>
    <row r="185" spans="1:4">
      <c r="A185" s="139" t="s">
        <v>1142</v>
      </c>
      <c r="B185" s="139" t="s">
        <v>63</v>
      </c>
      <c r="C185" s="139">
        <v>1</v>
      </c>
      <c r="D185" s="135" t="str">
        <f t="shared" si="2"/>
        <v>L6-1</v>
      </c>
    </row>
    <row r="186" spans="1:4">
      <c r="A186" s="139" t="s">
        <v>782</v>
      </c>
      <c r="B186" s="139" t="s">
        <v>63</v>
      </c>
      <c r="C186" s="139">
        <v>2</v>
      </c>
      <c r="D186" s="135" t="str">
        <f t="shared" si="2"/>
        <v>L6-2</v>
      </c>
    </row>
    <row r="187" spans="1:4">
      <c r="A187" s="139" t="s">
        <v>786</v>
      </c>
      <c r="B187" s="139" t="s">
        <v>63</v>
      </c>
      <c r="C187" s="139">
        <v>2</v>
      </c>
      <c r="D187" s="135" t="str">
        <f t="shared" si="2"/>
        <v>L6-2</v>
      </c>
    </row>
    <row r="188" spans="1:4">
      <c r="A188" s="139" t="s">
        <v>788</v>
      </c>
      <c r="B188" s="139" t="s">
        <v>63</v>
      </c>
      <c r="C188" s="139">
        <v>2</v>
      </c>
      <c r="D188" s="135" t="str">
        <f t="shared" si="2"/>
        <v>L6-2</v>
      </c>
    </row>
    <row r="189" spans="1:4">
      <c r="A189" s="139" t="s">
        <v>790</v>
      </c>
      <c r="B189" s="139" t="s">
        <v>63</v>
      </c>
      <c r="C189" s="139">
        <v>2</v>
      </c>
      <c r="D189" s="135" t="str">
        <f t="shared" si="2"/>
        <v>L6-2</v>
      </c>
    </row>
    <row r="190" spans="1:4">
      <c r="A190" s="139" t="s">
        <v>792</v>
      </c>
      <c r="B190" s="139" t="s">
        <v>63</v>
      </c>
      <c r="C190" s="139">
        <v>2</v>
      </c>
      <c r="D190" s="135" t="str">
        <f t="shared" si="2"/>
        <v>L6-2</v>
      </c>
    </row>
    <row r="191" spans="1:4">
      <c r="A191" s="139" t="s">
        <v>794</v>
      </c>
      <c r="B191" s="139" t="s">
        <v>63</v>
      </c>
      <c r="C191" s="139">
        <v>2</v>
      </c>
      <c r="D191" s="135" t="str">
        <f t="shared" si="2"/>
        <v>L6-2</v>
      </c>
    </row>
    <row r="192" spans="1:4">
      <c r="A192" s="139" t="s">
        <v>797</v>
      </c>
      <c r="B192" s="139" t="s">
        <v>63</v>
      </c>
      <c r="C192" s="139">
        <v>2</v>
      </c>
      <c r="D192" s="135" t="str">
        <f t="shared" si="2"/>
        <v>L6-2</v>
      </c>
    </row>
    <row r="193" spans="1:4">
      <c r="A193" s="139" t="s">
        <v>799</v>
      </c>
      <c r="B193" s="139" t="s">
        <v>63</v>
      </c>
      <c r="C193" s="139">
        <v>2</v>
      </c>
      <c r="D193" s="135" t="str">
        <f t="shared" si="2"/>
        <v>L6-2</v>
      </c>
    </row>
    <row r="194" spans="1:4">
      <c r="A194" s="139" t="s">
        <v>801</v>
      </c>
      <c r="B194" s="139" t="s">
        <v>63</v>
      </c>
      <c r="C194" s="139">
        <v>2</v>
      </c>
      <c r="D194" s="135" t="str">
        <f t="shared" ref="D194:D257" si="3">B194&amp;"-"&amp;C194</f>
        <v>L6-2</v>
      </c>
    </row>
    <row r="195" spans="1:4">
      <c r="A195" s="139" t="s">
        <v>548</v>
      </c>
      <c r="B195" s="139" t="s">
        <v>63</v>
      </c>
      <c r="C195" s="139">
        <v>3</v>
      </c>
      <c r="D195" s="135" t="str">
        <f t="shared" si="3"/>
        <v>L6-3</v>
      </c>
    </row>
    <row r="196" spans="1:4">
      <c r="A196" s="139" t="s">
        <v>844</v>
      </c>
      <c r="B196" s="139" t="s">
        <v>63</v>
      </c>
      <c r="C196" s="139">
        <v>3</v>
      </c>
      <c r="D196" s="135" t="str">
        <f t="shared" si="3"/>
        <v>L6-3</v>
      </c>
    </row>
    <row r="197" spans="1:4">
      <c r="A197" s="139" t="s">
        <v>846</v>
      </c>
      <c r="B197" s="139" t="s">
        <v>63</v>
      </c>
      <c r="C197" s="139">
        <v>3</v>
      </c>
      <c r="D197" s="135" t="str">
        <f t="shared" si="3"/>
        <v>L6-3</v>
      </c>
    </row>
    <row r="198" spans="1:4">
      <c r="A198" s="139" t="s">
        <v>1146</v>
      </c>
      <c r="B198" s="139" t="s">
        <v>63</v>
      </c>
      <c r="C198" s="139">
        <v>3</v>
      </c>
      <c r="D198" s="135" t="str">
        <f t="shared" si="3"/>
        <v>L6-3</v>
      </c>
    </row>
    <row r="199" spans="1:4">
      <c r="A199" s="139" t="s">
        <v>1138</v>
      </c>
      <c r="B199" s="139" t="s">
        <v>63</v>
      </c>
      <c r="C199" s="139">
        <v>4</v>
      </c>
      <c r="D199" s="135" t="str">
        <f t="shared" si="3"/>
        <v>L6-4</v>
      </c>
    </row>
    <row r="200" spans="1:4">
      <c r="A200" s="139" t="s">
        <v>1119</v>
      </c>
      <c r="B200" s="139" t="s">
        <v>63</v>
      </c>
      <c r="C200" s="139">
        <v>4</v>
      </c>
      <c r="D200" s="135" t="str">
        <f t="shared" si="3"/>
        <v>L6-4</v>
      </c>
    </row>
    <row r="201" spans="1:4">
      <c r="A201" s="139" t="s">
        <v>1127</v>
      </c>
      <c r="B201" s="139" t="s">
        <v>63</v>
      </c>
      <c r="C201" s="139">
        <v>4</v>
      </c>
      <c r="D201" s="135" t="str">
        <f t="shared" si="3"/>
        <v>L6-4</v>
      </c>
    </row>
    <row r="202" spans="1:4">
      <c r="A202" s="139" t="s">
        <v>1144</v>
      </c>
      <c r="B202" s="139" t="s">
        <v>63</v>
      </c>
      <c r="C202" s="139">
        <v>4</v>
      </c>
      <c r="D202" s="135" t="str">
        <f t="shared" si="3"/>
        <v>L6-4</v>
      </c>
    </row>
    <row r="203" spans="1:4">
      <c r="A203" s="139" t="s">
        <v>627</v>
      </c>
      <c r="B203" s="139" t="s">
        <v>63</v>
      </c>
      <c r="C203" s="139">
        <v>5</v>
      </c>
      <c r="D203" s="135" t="str">
        <f t="shared" si="3"/>
        <v>L6-5</v>
      </c>
    </row>
    <row r="204" spans="1:4">
      <c r="A204" s="139" t="s">
        <v>1068</v>
      </c>
      <c r="B204" s="139" t="s">
        <v>63</v>
      </c>
      <c r="C204" s="139">
        <v>5</v>
      </c>
      <c r="D204" s="135" t="str">
        <f t="shared" si="3"/>
        <v>L6-5</v>
      </c>
    </row>
    <row r="205" spans="1:4">
      <c r="A205" s="139" t="s">
        <v>2411</v>
      </c>
      <c r="B205" s="139" t="s">
        <v>63</v>
      </c>
      <c r="C205" s="139">
        <v>5</v>
      </c>
      <c r="D205" s="135" t="str">
        <f t="shared" si="3"/>
        <v>L6-5</v>
      </c>
    </row>
    <row r="206" spans="1:4">
      <c r="A206" s="140" t="s">
        <v>1070</v>
      </c>
      <c r="B206" s="139" t="s">
        <v>63</v>
      </c>
      <c r="C206" s="139">
        <v>5</v>
      </c>
      <c r="D206" s="135" t="str">
        <f t="shared" si="3"/>
        <v>L6-5</v>
      </c>
    </row>
    <row r="207" spans="1:4">
      <c r="A207" s="140" t="s">
        <v>1073</v>
      </c>
      <c r="B207" s="139" t="s">
        <v>63</v>
      </c>
      <c r="C207" s="139">
        <v>5</v>
      </c>
      <c r="D207" s="135" t="str">
        <f t="shared" si="3"/>
        <v>L6-5</v>
      </c>
    </row>
    <row r="208" spans="1:4">
      <c r="A208" s="140" t="s">
        <v>1076</v>
      </c>
      <c r="B208" s="139" t="s">
        <v>63</v>
      </c>
      <c r="C208" s="139">
        <v>5</v>
      </c>
      <c r="D208" s="135" t="str">
        <f t="shared" si="3"/>
        <v>L6-5</v>
      </c>
    </row>
    <row r="209" spans="1:4">
      <c r="A209" s="140" t="s">
        <v>1078</v>
      </c>
      <c r="B209" s="139" t="s">
        <v>63</v>
      </c>
      <c r="C209" s="139">
        <v>5</v>
      </c>
      <c r="D209" s="135" t="str">
        <f t="shared" si="3"/>
        <v>L6-5</v>
      </c>
    </row>
    <row r="210" spans="1:4">
      <c r="A210" s="139" t="s">
        <v>556</v>
      </c>
      <c r="B210" s="139" t="s">
        <v>63</v>
      </c>
      <c r="C210" s="139">
        <v>6</v>
      </c>
      <c r="D210" s="135" t="str">
        <f t="shared" si="3"/>
        <v>L6-6</v>
      </c>
    </row>
    <row r="211" spans="1:4">
      <c r="A211" s="139" t="s">
        <v>590</v>
      </c>
      <c r="B211" s="139" t="s">
        <v>63</v>
      </c>
      <c r="C211" s="139">
        <v>6</v>
      </c>
      <c r="D211" s="135" t="str">
        <f t="shared" si="3"/>
        <v>L6-6</v>
      </c>
    </row>
    <row r="212" spans="1:4">
      <c r="A212" s="139" t="s">
        <v>572</v>
      </c>
      <c r="B212" s="139" t="s">
        <v>63</v>
      </c>
      <c r="C212" s="139">
        <v>6</v>
      </c>
      <c r="D212" s="135" t="str">
        <f t="shared" si="3"/>
        <v>L6-6</v>
      </c>
    </row>
    <row r="213" spans="1:4">
      <c r="A213" s="139" t="s">
        <v>552</v>
      </c>
      <c r="B213" s="139" t="s">
        <v>63</v>
      </c>
      <c r="C213" s="139">
        <v>6</v>
      </c>
      <c r="D213" s="135" t="str">
        <f t="shared" si="3"/>
        <v>L6-6</v>
      </c>
    </row>
    <row r="214" spans="1:4">
      <c r="A214" s="139" t="s">
        <v>599</v>
      </c>
      <c r="B214" s="139" t="s">
        <v>63</v>
      </c>
      <c r="C214" s="139">
        <v>6</v>
      </c>
      <c r="D214" s="135" t="str">
        <f t="shared" si="3"/>
        <v>L6-6</v>
      </c>
    </row>
    <row r="215" spans="1:4">
      <c r="A215" s="139" t="s">
        <v>604</v>
      </c>
      <c r="B215" s="139" t="s">
        <v>63</v>
      </c>
      <c r="C215" s="139">
        <v>6</v>
      </c>
      <c r="D215" s="135" t="str">
        <f t="shared" si="3"/>
        <v>L6-6</v>
      </c>
    </row>
    <row r="216" spans="1:4">
      <c r="A216" s="139" t="s">
        <v>579</v>
      </c>
      <c r="B216" s="139" t="s">
        <v>63</v>
      </c>
      <c r="C216" s="139">
        <v>6</v>
      </c>
      <c r="D216" s="135" t="str">
        <f t="shared" si="3"/>
        <v>L6-6</v>
      </c>
    </row>
    <row r="217" spans="1:4">
      <c r="A217" s="139" t="s">
        <v>1123</v>
      </c>
      <c r="B217" s="139" t="s">
        <v>63</v>
      </c>
      <c r="C217" s="139">
        <v>6</v>
      </c>
      <c r="D217" s="135" t="str">
        <f t="shared" si="3"/>
        <v>L6-6</v>
      </c>
    </row>
    <row r="218" spans="1:4">
      <c r="A218" s="139" t="s">
        <v>247</v>
      </c>
      <c r="B218" s="139" t="s">
        <v>63</v>
      </c>
      <c r="C218" s="139">
        <v>6</v>
      </c>
      <c r="D218" s="135" t="str">
        <f t="shared" si="3"/>
        <v>L6-6</v>
      </c>
    </row>
    <row r="219" spans="1:4">
      <c r="A219" s="139" t="s">
        <v>610</v>
      </c>
      <c r="B219" s="139" t="s">
        <v>63</v>
      </c>
      <c r="C219" s="139">
        <v>7</v>
      </c>
      <c r="D219" s="135" t="str">
        <f t="shared" si="3"/>
        <v>L6-7</v>
      </c>
    </row>
    <row r="220" spans="1:4">
      <c r="A220" s="139" t="s">
        <v>1133</v>
      </c>
      <c r="B220" s="139" t="s">
        <v>63</v>
      </c>
      <c r="C220" s="139">
        <v>7</v>
      </c>
      <c r="D220" s="135" t="str">
        <f t="shared" si="3"/>
        <v>L6-7</v>
      </c>
    </row>
    <row r="221" spans="1:4">
      <c r="A221" s="139" t="s">
        <v>615</v>
      </c>
      <c r="B221" s="139" t="s">
        <v>63</v>
      </c>
      <c r="C221" s="139">
        <v>7</v>
      </c>
      <c r="D221" s="135" t="str">
        <f t="shared" si="3"/>
        <v>L6-7</v>
      </c>
    </row>
    <row r="222" spans="1:4">
      <c r="A222" s="139" t="s">
        <v>595</v>
      </c>
      <c r="B222" s="139" t="s">
        <v>63</v>
      </c>
      <c r="C222" s="139">
        <v>7</v>
      </c>
      <c r="D222" s="135" t="str">
        <f t="shared" si="3"/>
        <v>L6-7</v>
      </c>
    </row>
    <row r="223" spans="1:4">
      <c r="A223" s="139" t="s">
        <v>585</v>
      </c>
      <c r="B223" s="139" t="s">
        <v>63</v>
      </c>
      <c r="C223" s="139">
        <v>7</v>
      </c>
      <c r="D223" s="135" t="str">
        <f t="shared" si="3"/>
        <v>L6-7</v>
      </c>
    </row>
    <row r="224" spans="1:4">
      <c r="A224" s="139" t="s">
        <v>562</v>
      </c>
      <c r="B224" s="139" t="s">
        <v>63</v>
      </c>
      <c r="C224" s="139">
        <v>7</v>
      </c>
      <c r="D224" s="135" t="str">
        <f t="shared" si="3"/>
        <v>L6-7</v>
      </c>
    </row>
    <row r="225" spans="1:4">
      <c r="A225" s="139" t="s">
        <v>567</v>
      </c>
      <c r="B225" s="139" t="s">
        <v>63</v>
      </c>
      <c r="C225" s="139">
        <v>7</v>
      </c>
      <c r="D225" s="135" t="str">
        <f t="shared" si="3"/>
        <v>L6-7</v>
      </c>
    </row>
    <row r="226" spans="1:4">
      <c r="A226" s="139" t="s">
        <v>621</v>
      </c>
      <c r="B226" s="139" t="s">
        <v>63</v>
      </c>
      <c r="C226" s="139">
        <v>7</v>
      </c>
      <c r="D226" s="135" t="str">
        <f t="shared" si="3"/>
        <v>L6-7</v>
      </c>
    </row>
    <row r="227" spans="1:4">
      <c r="A227" s="139" t="s">
        <v>1060</v>
      </c>
      <c r="B227" s="139" t="s">
        <v>63</v>
      </c>
      <c r="C227" s="139">
        <v>7</v>
      </c>
      <c r="D227" s="135" t="str">
        <f t="shared" si="3"/>
        <v>L6-7</v>
      </c>
    </row>
    <row r="228" spans="1:4">
      <c r="A228" s="139" t="s">
        <v>1018</v>
      </c>
      <c r="B228" s="139" t="s">
        <v>63</v>
      </c>
      <c r="C228" s="139">
        <v>7</v>
      </c>
      <c r="D228" s="135" t="str">
        <f t="shared" si="3"/>
        <v>L6-7</v>
      </c>
    </row>
    <row r="229" spans="1:4">
      <c r="A229" s="139" t="s">
        <v>1046</v>
      </c>
      <c r="B229" s="139" t="s">
        <v>63</v>
      </c>
      <c r="C229" s="139">
        <v>7</v>
      </c>
      <c r="D229" s="135" t="str">
        <f t="shared" si="3"/>
        <v>L6-7</v>
      </c>
    </row>
    <row r="230" spans="1:4">
      <c r="A230" s="139" t="s">
        <v>1052</v>
      </c>
      <c r="B230" s="139" t="s">
        <v>63</v>
      </c>
      <c r="C230" s="139">
        <v>7</v>
      </c>
      <c r="D230" s="135" t="str">
        <f t="shared" si="3"/>
        <v>L6-7</v>
      </c>
    </row>
    <row r="231" spans="1:4">
      <c r="A231" s="139" t="s">
        <v>539</v>
      </c>
      <c r="B231" s="139" t="s">
        <v>63</v>
      </c>
      <c r="C231" s="139">
        <v>7</v>
      </c>
      <c r="D231" s="135" t="str">
        <f t="shared" si="3"/>
        <v>L6-7</v>
      </c>
    </row>
    <row r="232" spans="1:4">
      <c r="A232" s="139" t="s">
        <v>546</v>
      </c>
      <c r="B232" s="139" t="s">
        <v>63</v>
      </c>
      <c r="C232" s="139">
        <v>7</v>
      </c>
      <c r="D232" s="135" t="str">
        <f t="shared" si="3"/>
        <v>L6-7</v>
      </c>
    </row>
    <row r="233" spans="1:4">
      <c r="A233" s="139" t="s">
        <v>1064</v>
      </c>
      <c r="B233" s="139" t="s">
        <v>63</v>
      </c>
      <c r="C233" s="139">
        <v>7</v>
      </c>
      <c r="D233" s="135" t="str">
        <f t="shared" si="3"/>
        <v>L6-7</v>
      </c>
    </row>
    <row r="234" spans="1:4">
      <c r="A234" s="139" t="s">
        <v>767</v>
      </c>
      <c r="B234" s="139" t="s">
        <v>63</v>
      </c>
      <c r="C234" s="139">
        <v>8</v>
      </c>
      <c r="D234" s="135" t="str">
        <f t="shared" si="3"/>
        <v>L6-8</v>
      </c>
    </row>
    <row r="235" spans="1:4">
      <c r="A235" s="139" t="s">
        <v>769</v>
      </c>
      <c r="B235" s="139" t="s">
        <v>63</v>
      </c>
      <c r="C235" s="139">
        <v>8</v>
      </c>
      <c r="D235" s="135" t="str">
        <f t="shared" si="3"/>
        <v>L6-8</v>
      </c>
    </row>
    <row r="236" spans="1:4">
      <c r="A236" s="139" t="s">
        <v>2412</v>
      </c>
      <c r="B236" s="139" t="s">
        <v>64</v>
      </c>
      <c r="C236" s="139">
        <v>1</v>
      </c>
      <c r="D236" s="135" t="str">
        <f t="shared" si="3"/>
        <v>L7-1</v>
      </c>
    </row>
    <row r="237" spans="1:4">
      <c r="A237" s="139" t="s">
        <v>2413</v>
      </c>
      <c r="B237" s="139" t="s">
        <v>64</v>
      </c>
      <c r="C237" s="139">
        <v>2</v>
      </c>
      <c r="D237" s="135" t="str">
        <f t="shared" si="3"/>
        <v>L7-2</v>
      </c>
    </row>
    <row r="238" spans="1:4">
      <c r="A238" s="139" t="s">
        <v>2414</v>
      </c>
      <c r="B238" s="139" t="s">
        <v>64</v>
      </c>
      <c r="C238" s="139">
        <v>2</v>
      </c>
      <c r="D238" s="135" t="str">
        <f t="shared" si="3"/>
        <v>L7-2</v>
      </c>
    </row>
    <row r="239" spans="1:4">
      <c r="A239" s="139" t="s">
        <v>2415</v>
      </c>
      <c r="B239" s="139" t="s">
        <v>64</v>
      </c>
      <c r="C239" s="139">
        <v>2</v>
      </c>
      <c r="D239" s="135" t="str">
        <f t="shared" si="3"/>
        <v>L7-2</v>
      </c>
    </row>
    <row r="240" spans="1:4">
      <c r="A240" s="139" t="s">
        <v>2416</v>
      </c>
      <c r="B240" s="139" t="s">
        <v>64</v>
      </c>
      <c r="C240" s="139">
        <v>2</v>
      </c>
      <c r="D240" s="135" t="str">
        <f t="shared" si="3"/>
        <v>L7-2</v>
      </c>
    </row>
    <row r="241" spans="1:4">
      <c r="A241" s="139" t="s">
        <v>2417</v>
      </c>
      <c r="B241" s="139" t="s">
        <v>64</v>
      </c>
      <c r="C241" s="139">
        <v>2</v>
      </c>
      <c r="D241" s="135" t="str">
        <f t="shared" si="3"/>
        <v>L7-2</v>
      </c>
    </row>
    <row r="242" spans="1:4">
      <c r="A242" s="139" t="s">
        <v>2418</v>
      </c>
      <c r="B242" s="139" t="s">
        <v>64</v>
      </c>
      <c r="C242" s="139">
        <v>2</v>
      </c>
      <c r="D242" s="135" t="str">
        <f t="shared" si="3"/>
        <v>L7-2</v>
      </c>
    </row>
    <row r="243" spans="1:4">
      <c r="A243" s="139" t="s">
        <v>2419</v>
      </c>
      <c r="B243" s="139" t="s">
        <v>64</v>
      </c>
      <c r="C243" s="139">
        <v>2</v>
      </c>
      <c r="D243" s="135" t="str">
        <f t="shared" si="3"/>
        <v>L7-2</v>
      </c>
    </row>
    <row r="244" spans="1:4">
      <c r="A244" s="139" t="s">
        <v>926</v>
      </c>
      <c r="B244" s="139" t="s">
        <v>65</v>
      </c>
      <c r="C244" s="139">
        <v>1</v>
      </c>
      <c r="D244" s="135" t="str">
        <f t="shared" si="3"/>
        <v>L8-1</v>
      </c>
    </row>
    <row r="245" spans="1:4">
      <c r="A245" s="139" t="s">
        <v>1423</v>
      </c>
      <c r="B245" s="139" t="s">
        <v>65</v>
      </c>
      <c r="C245" s="139">
        <v>1</v>
      </c>
      <c r="D245" s="135" t="str">
        <f t="shared" si="3"/>
        <v>L8-1</v>
      </c>
    </row>
    <row r="246" spans="1:4">
      <c r="A246" s="139" t="s">
        <v>2420</v>
      </c>
      <c r="B246" s="139" t="s">
        <v>65</v>
      </c>
      <c r="C246" s="139">
        <v>1</v>
      </c>
      <c r="D246" s="135" t="str">
        <f t="shared" si="3"/>
        <v>L8-1</v>
      </c>
    </row>
    <row r="247" spans="1:4">
      <c r="A247" s="139" t="s">
        <v>945</v>
      </c>
      <c r="B247" s="139" t="s">
        <v>65</v>
      </c>
      <c r="C247" s="139">
        <v>2</v>
      </c>
      <c r="D247" s="135" t="str">
        <f t="shared" si="3"/>
        <v>L8-2</v>
      </c>
    </row>
    <row r="248" spans="1:4">
      <c r="A248" s="139" t="s">
        <v>951</v>
      </c>
      <c r="B248" s="139" t="s">
        <v>65</v>
      </c>
      <c r="C248" s="139">
        <v>2</v>
      </c>
      <c r="D248" s="135" t="str">
        <f t="shared" si="3"/>
        <v>L8-2</v>
      </c>
    </row>
    <row r="249" spans="1:4">
      <c r="A249" s="139" t="s">
        <v>943</v>
      </c>
      <c r="B249" s="139" t="s">
        <v>65</v>
      </c>
      <c r="C249" s="139">
        <v>2</v>
      </c>
      <c r="D249" s="135" t="str">
        <f t="shared" si="3"/>
        <v>L8-2</v>
      </c>
    </row>
    <row r="250" spans="1:4">
      <c r="A250" s="139" t="s">
        <v>954</v>
      </c>
      <c r="B250" s="139" t="s">
        <v>65</v>
      </c>
      <c r="C250" s="139">
        <v>2</v>
      </c>
      <c r="D250" s="135" t="str">
        <f t="shared" si="3"/>
        <v>L8-2</v>
      </c>
    </row>
    <row r="251" spans="1:4">
      <c r="A251" s="139" t="s">
        <v>959</v>
      </c>
      <c r="B251" s="139" t="s">
        <v>65</v>
      </c>
      <c r="C251" s="139">
        <v>2</v>
      </c>
      <c r="D251" s="135" t="str">
        <f t="shared" si="3"/>
        <v>L8-2</v>
      </c>
    </row>
    <row r="252" spans="1:4">
      <c r="A252" s="139" t="s">
        <v>949</v>
      </c>
      <c r="B252" s="139" t="s">
        <v>65</v>
      </c>
      <c r="C252" s="139">
        <v>2</v>
      </c>
      <c r="D252" s="135" t="str">
        <f t="shared" si="3"/>
        <v>L8-2</v>
      </c>
    </row>
    <row r="253" spans="1:4">
      <c r="A253" s="139" t="s">
        <v>1149</v>
      </c>
      <c r="B253" s="139" t="s">
        <v>65</v>
      </c>
      <c r="C253" s="139">
        <v>3</v>
      </c>
      <c r="D253" s="135" t="str">
        <f t="shared" si="3"/>
        <v>L8-3</v>
      </c>
    </row>
    <row r="254" spans="1:4">
      <c r="A254" s="139" t="s">
        <v>1301</v>
      </c>
      <c r="B254" s="139" t="s">
        <v>65</v>
      </c>
      <c r="C254" s="139">
        <v>3</v>
      </c>
      <c r="D254" s="135" t="str">
        <f t="shared" si="3"/>
        <v>L8-3</v>
      </c>
    </row>
    <row r="255" spans="1:4">
      <c r="A255" s="139" t="s">
        <v>1303</v>
      </c>
      <c r="B255" s="139" t="s">
        <v>65</v>
      </c>
      <c r="C255" s="139">
        <v>3</v>
      </c>
      <c r="D255" s="135" t="str">
        <f t="shared" si="3"/>
        <v>L8-3</v>
      </c>
    </row>
    <row r="256" spans="1:4">
      <c r="A256" s="139" t="s">
        <v>1305</v>
      </c>
      <c r="B256" s="139" t="s">
        <v>65</v>
      </c>
      <c r="C256" s="139">
        <v>3</v>
      </c>
      <c r="D256" s="135" t="str">
        <f t="shared" si="3"/>
        <v>L8-3</v>
      </c>
    </row>
    <row r="257" spans="1:4">
      <c r="A257" s="139" t="s">
        <v>1307</v>
      </c>
      <c r="B257" s="139" t="s">
        <v>65</v>
      </c>
      <c r="C257" s="139">
        <v>3</v>
      </c>
      <c r="D257" s="135" t="str">
        <f t="shared" si="3"/>
        <v>L8-3</v>
      </c>
    </row>
    <row r="258" spans="1:4">
      <c r="A258" s="139" t="s">
        <v>1309</v>
      </c>
      <c r="B258" s="139" t="s">
        <v>65</v>
      </c>
      <c r="C258" s="139">
        <v>3</v>
      </c>
      <c r="D258" s="135" t="str">
        <f t="shared" ref="D258:D321" si="4">B258&amp;"-"&amp;C258</f>
        <v>L8-3</v>
      </c>
    </row>
    <row r="259" spans="1:4">
      <c r="A259" s="139" t="s">
        <v>1311</v>
      </c>
      <c r="B259" s="139" t="s">
        <v>65</v>
      </c>
      <c r="C259" s="139">
        <v>3</v>
      </c>
      <c r="D259" s="135" t="str">
        <f t="shared" si="4"/>
        <v>L8-3</v>
      </c>
    </row>
    <row r="260" spans="1:4">
      <c r="A260" s="139" t="s">
        <v>1313</v>
      </c>
      <c r="B260" s="139" t="s">
        <v>65</v>
      </c>
      <c r="C260" s="139">
        <v>3</v>
      </c>
      <c r="D260" s="135" t="str">
        <f t="shared" si="4"/>
        <v>L8-3</v>
      </c>
    </row>
    <row r="261" spans="1:4">
      <c r="A261" s="139" t="s">
        <v>1315</v>
      </c>
      <c r="B261" s="139" t="s">
        <v>65</v>
      </c>
      <c r="C261" s="139">
        <v>3</v>
      </c>
      <c r="D261" s="135" t="str">
        <f t="shared" si="4"/>
        <v>L8-3</v>
      </c>
    </row>
    <row r="262" spans="1:4">
      <c r="A262" s="139" t="s">
        <v>1317</v>
      </c>
      <c r="B262" s="139" t="s">
        <v>65</v>
      </c>
      <c r="C262" s="139">
        <v>3</v>
      </c>
      <c r="D262" s="135" t="str">
        <f t="shared" si="4"/>
        <v>L8-3</v>
      </c>
    </row>
    <row r="263" spans="1:4">
      <c r="A263" s="139" t="s">
        <v>1319</v>
      </c>
      <c r="B263" s="139" t="s">
        <v>65</v>
      </c>
      <c r="C263" s="139">
        <v>3</v>
      </c>
      <c r="D263" s="135" t="str">
        <f t="shared" si="4"/>
        <v>L8-3</v>
      </c>
    </row>
    <row r="264" spans="1:4">
      <c r="A264" s="139" t="s">
        <v>1321</v>
      </c>
      <c r="B264" s="139" t="s">
        <v>65</v>
      </c>
      <c r="C264" s="139">
        <v>3</v>
      </c>
      <c r="D264" s="135" t="str">
        <f t="shared" si="4"/>
        <v>L8-3</v>
      </c>
    </row>
    <row r="265" spans="1:4">
      <c r="A265" s="139" t="s">
        <v>1323</v>
      </c>
      <c r="B265" s="139" t="s">
        <v>65</v>
      </c>
      <c r="C265" s="139">
        <v>3</v>
      </c>
      <c r="D265" s="135" t="str">
        <f t="shared" si="4"/>
        <v>L8-3</v>
      </c>
    </row>
    <row r="266" spans="1:4">
      <c r="A266" s="139" t="s">
        <v>1325</v>
      </c>
      <c r="B266" s="139" t="s">
        <v>65</v>
      </c>
      <c r="C266" s="139">
        <v>3</v>
      </c>
      <c r="D266" s="135" t="str">
        <f t="shared" si="4"/>
        <v>L8-3</v>
      </c>
    </row>
    <row r="267" spans="1:4">
      <c r="A267" s="139" t="s">
        <v>1327</v>
      </c>
      <c r="B267" s="139" t="s">
        <v>65</v>
      </c>
      <c r="C267" s="139">
        <v>3</v>
      </c>
      <c r="D267" s="135" t="str">
        <f t="shared" si="4"/>
        <v>L8-3</v>
      </c>
    </row>
    <row r="268" spans="1:4">
      <c r="A268" s="139" t="s">
        <v>1329</v>
      </c>
      <c r="B268" s="139" t="s">
        <v>65</v>
      </c>
      <c r="C268" s="139">
        <v>3</v>
      </c>
      <c r="D268" s="135" t="str">
        <f t="shared" si="4"/>
        <v>L8-3</v>
      </c>
    </row>
    <row r="269" spans="1:4">
      <c r="A269" s="139" t="s">
        <v>1331</v>
      </c>
      <c r="B269" s="139" t="s">
        <v>65</v>
      </c>
      <c r="C269" s="139">
        <v>3</v>
      </c>
      <c r="D269" s="135" t="str">
        <f t="shared" si="4"/>
        <v>L8-3</v>
      </c>
    </row>
    <row r="270" spans="1:4">
      <c r="A270" s="139" t="s">
        <v>1333</v>
      </c>
      <c r="B270" s="139" t="s">
        <v>65</v>
      </c>
      <c r="C270" s="139">
        <v>3</v>
      </c>
      <c r="D270" s="135" t="str">
        <f t="shared" si="4"/>
        <v>L8-3</v>
      </c>
    </row>
    <row r="271" spans="1:4">
      <c r="A271" s="139" t="s">
        <v>1335</v>
      </c>
      <c r="B271" s="139" t="s">
        <v>65</v>
      </c>
      <c r="C271" s="139">
        <v>3</v>
      </c>
      <c r="D271" s="135" t="str">
        <f t="shared" si="4"/>
        <v>L8-3</v>
      </c>
    </row>
    <row r="272" spans="1:4">
      <c r="A272" s="139" t="s">
        <v>1337</v>
      </c>
      <c r="B272" s="139" t="s">
        <v>65</v>
      </c>
      <c r="C272" s="139">
        <v>3</v>
      </c>
      <c r="D272" s="135" t="str">
        <f t="shared" si="4"/>
        <v>L8-3</v>
      </c>
    </row>
    <row r="273" spans="1:4">
      <c r="A273" s="139" t="s">
        <v>1339</v>
      </c>
      <c r="B273" s="139" t="s">
        <v>65</v>
      </c>
      <c r="C273" s="139">
        <v>3</v>
      </c>
      <c r="D273" s="135" t="str">
        <f t="shared" si="4"/>
        <v>L8-3</v>
      </c>
    </row>
    <row r="274" spans="1:4">
      <c r="A274" s="139" t="s">
        <v>1341</v>
      </c>
      <c r="B274" s="139" t="s">
        <v>65</v>
      </c>
      <c r="C274" s="139">
        <v>3</v>
      </c>
      <c r="D274" s="135" t="str">
        <f t="shared" si="4"/>
        <v>L8-3</v>
      </c>
    </row>
    <row r="275" spans="1:4">
      <c r="A275" s="139" t="s">
        <v>1343</v>
      </c>
      <c r="B275" s="139" t="s">
        <v>65</v>
      </c>
      <c r="C275" s="139">
        <v>3</v>
      </c>
      <c r="D275" s="135" t="str">
        <f t="shared" si="4"/>
        <v>L8-3</v>
      </c>
    </row>
    <row r="276" spans="1:4">
      <c r="A276" s="139" t="s">
        <v>1345</v>
      </c>
      <c r="B276" s="139" t="s">
        <v>65</v>
      </c>
      <c r="C276" s="139">
        <v>3</v>
      </c>
      <c r="D276" s="135" t="str">
        <f t="shared" si="4"/>
        <v>L8-3</v>
      </c>
    </row>
    <row r="277" spans="1:4">
      <c r="A277" s="139" t="s">
        <v>1347</v>
      </c>
      <c r="B277" s="139" t="s">
        <v>65</v>
      </c>
      <c r="C277" s="139">
        <v>3</v>
      </c>
      <c r="D277" s="135" t="str">
        <f t="shared" si="4"/>
        <v>L8-3</v>
      </c>
    </row>
    <row r="278" spans="1:4">
      <c r="A278" s="139" t="s">
        <v>1349</v>
      </c>
      <c r="B278" s="139" t="s">
        <v>65</v>
      </c>
      <c r="C278" s="139">
        <v>3</v>
      </c>
      <c r="D278" s="135" t="str">
        <f t="shared" si="4"/>
        <v>L8-3</v>
      </c>
    </row>
    <row r="279" spans="1:4">
      <c r="A279" s="139" t="s">
        <v>1353</v>
      </c>
      <c r="B279" s="139" t="s">
        <v>65</v>
      </c>
      <c r="C279" s="139">
        <v>3</v>
      </c>
      <c r="D279" s="135" t="str">
        <f t="shared" si="4"/>
        <v>L8-3</v>
      </c>
    </row>
    <row r="280" spans="1:4">
      <c r="A280" s="139" t="s">
        <v>1355</v>
      </c>
      <c r="B280" s="139" t="s">
        <v>65</v>
      </c>
      <c r="C280" s="139">
        <v>3</v>
      </c>
      <c r="D280" s="135" t="str">
        <f t="shared" si="4"/>
        <v>L8-3</v>
      </c>
    </row>
    <row r="281" spans="1:4">
      <c r="A281" s="139" t="s">
        <v>1357</v>
      </c>
      <c r="B281" s="139" t="s">
        <v>65</v>
      </c>
      <c r="C281" s="139">
        <v>3</v>
      </c>
      <c r="D281" s="135" t="str">
        <f t="shared" si="4"/>
        <v>L8-3</v>
      </c>
    </row>
    <row r="282" spans="1:4">
      <c r="A282" s="139" t="s">
        <v>1359</v>
      </c>
      <c r="B282" s="139" t="s">
        <v>65</v>
      </c>
      <c r="C282" s="139">
        <v>3</v>
      </c>
      <c r="D282" s="135" t="str">
        <f t="shared" si="4"/>
        <v>L8-3</v>
      </c>
    </row>
    <row r="283" spans="1:4">
      <c r="A283" s="139" t="s">
        <v>1361</v>
      </c>
      <c r="B283" s="139" t="s">
        <v>65</v>
      </c>
      <c r="C283" s="139">
        <v>3</v>
      </c>
      <c r="D283" s="135" t="str">
        <f t="shared" si="4"/>
        <v>L8-3</v>
      </c>
    </row>
    <row r="284" spans="1:4">
      <c r="A284" s="139" t="s">
        <v>1363</v>
      </c>
      <c r="B284" s="139" t="s">
        <v>65</v>
      </c>
      <c r="C284" s="139">
        <v>3</v>
      </c>
      <c r="D284" s="135" t="str">
        <f t="shared" si="4"/>
        <v>L8-3</v>
      </c>
    </row>
    <row r="285" spans="1:4">
      <c r="A285" s="139" t="s">
        <v>1365</v>
      </c>
      <c r="B285" s="139" t="s">
        <v>65</v>
      </c>
      <c r="C285" s="139">
        <v>3</v>
      </c>
      <c r="D285" s="135" t="str">
        <f t="shared" si="4"/>
        <v>L8-3</v>
      </c>
    </row>
    <row r="286" spans="1:4">
      <c r="A286" s="139" t="s">
        <v>1367</v>
      </c>
      <c r="B286" s="139" t="s">
        <v>65</v>
      </c>
      <c r="C286" s="139">
        <v>3</v>
      </c>
      <c r="D286" s="135" t="str">
        <f t="shared" si="4"/>
        <v>L8-3</v>
      </c>
    </row>
    <row r="287" spans="1:4">
      <c r="A287" s="139" t="s">
        <v>1369</v>
      </c>
      <c r="B287" s="139" t="s">
        <v>65</v>
      </c>
      <c r="C287" s="139">
        <v>3</v>
      </c>
      <c r="D287" s="135" t="str">
        <f t="shared" si="4"/>
        <v>L8-3</v>
      </c>
    </row>
    <row r="288" spans="1:4">
      <c r="A288" s="139" t="s">
        <v>1371</v>
      </c>
      <c r="B288" s="139" t="s">
        <v>65</v>
      </c>
      <c r="C288" s="139">
        <v>3</v>
      </c>
      <c r="D288" s="135" t="str">
        <f t="shared" si="4"/>
        <v>L8-3</v>
      </c>
    </row>
    <row r="289" spans="1:4">
      <c r="A289" s="139" t="s">
        <v>1373</v>
      </c>
      <c r="B289" s="139" t="s">
        <v>65</v>
      </c>
      <c r="C289" s="139">
        <v>3</v>
      </c>
      <c r="D289" s="135" t="str">
        <f t="shared" si="4"/>
        <v>L8-3</v>
      </c>
    </row>
    <row r="290" spans="1:4">
      <c r="A290" s="140" t="s">
        <v>1225</v>
      </c>
      <c r="B290" s="139" t="s">
        <v>65</v>
      </c>
      <c r="C290" s="139">
        <v>4</v>
      </c>
      <c r="D290" s="135" t="str">
        <f t="shared" si="4"/>
        <v>L8-4</v>
      </c>
    </row>
    <row r="291" spans="1:4">
      <c r="A291" s="139" t="s">
        <v>2421</v>
      </c>
      <c r="B291" s="139" t="s">
        <v>65</v>
      </c>
      <c r="C291" s="139">
        <v>4</v>
      </c>
      <c r="D291" s="135" t="str">
        <f t="shared" si="4"/>
        <v>L8-4</v>
      </c>
    </row>
    <row r="292" spans="1:4">
      <c r="A292" s="139" t="s">
        <v>2422</v>
      </c>
      <c r="B292" s="139" t="s">
        <v>65</v>
      </c>
      <c r="C292" s="139">
        <v>4</v>
      </c>
      <c r="D292" s="135" t="str">
        <f t="shared" si="4"/>
        <v>L8-4</v>
      </c>
    </row>
    <row r="293" spans="1:4">
      <c r="A293" s="139" t="s">
        <v>1379</v>
      </c>
      <c r="B293" s="139" t="s">
        <v>65</v>
      </c>
      <c r="C293" s="139">
        <v>5</v>
      </c>
      <c r="D293" s="135" t="str">
        <f t="shared" si="4"/>
        <v>L8-5</v>
      </c>
    </row>
    <row r="294" spans="1:4">
      <c r="A294" s="139" t="s">
        <v>1381</v>
      </c>
      <c r="B294" s="139" t="s">
        <v>65</v>
      </c>
      <c r="C294" s="139">
        <v>5</v>
      </c>
      <c r="D294" s="135" t="str">
        <f t="shared" si="4"/>
        <v>L8-5</v>
      </c>
    </row>
    <row r="295" spans="1:4">
      <c r="A295" s="139" t="s">
        <v>1376</v>
      </c>
      <c r="B295" s="139" t="s">
        <v>65</v>
      </c>
      <c r="C295" s="139">
        <v>5</v>
      </c>
      <c r="D295" s="135" t="str">
        <f t="shared" si="4"/>
        <v>L8-5</v>
      </c>
    </row>
    <row r="296" spans="1:4">
      <c r="A296" s="139" t="s">
        <v>940</v>
      </c>
      <c r="B296" s="139" t="s">
        <v>65</v>
      </c>
      <c r="C296" s="139">
        <v>7</v>
      </c>
      <c r="D296" s="135" t="str">
        <f t="shared" si="4"/>
        <v>L8-7</v>
      </c>
    </row>
    <row r="297" spans="1:4">
      <c r="A297" s="139" t="s">
        <v>2423</v>
      </c>
      <c r="B297" s="139" t="s">
        <v>66</v>
      </c>
      <c r="C297" s="139">
        <v>1</v>
      </c>
      <c r="D297" s="135" t="str">
        <f t="shared" si="4"/>
        <v>L9-1</v>
      </c>
    </row>
    <row r="298" spans="1:4">
      <c r="A298" s="139" t="s">
        <v>2424</v>
      </c>
      <c r="B298" s="139" t="s">
        <v>66</v>
      </c>
      <c r="C298" s="139">
        <v>1</v>
      </c>
      <c r="D298" s="135" t="str">
        <f t="shared" si="4"/>
        <v>L9-1</v>
      </c>
    </row>
    <row r="299" spans="1:4">
      <c r="A299" s="139" t="s">
        <v>2425</v>
      </c>
      <c r="B299" s="139" t="s">
        <v>66</v>
      </c>
      <c r="C299" s="139">
        <v>1</v>
      </c>
      <c r="D299" s="135" t="str">
        <f t="shared" si="4"/>
        <v>L9-1</v>
      </c>
    </row>
    <row r="300" spans="1:4">
      <c r="A300" s="139" t="s">
        <v>1891</v>
      </c>
      <c r="B300" s="139" t="s">
        <v>66</v>
      </c>
      <c r="C300" s="139">
        <v>1</v>
      </c>
      <c r="D300" s="135" t="str">
        <f t="shared" si="4"/>
        <v>L9-1</v>
      </c>
    </row>
    <row r="301" spans="1:4">
      <c r="A301" s="139" t="s">
        <v>2426</v>
      </c>
      <c r="B301" s="139" t="s">
        <v>66</v>
      </c>
      <c r="C301" s="139">
        <v>2</v>
      </c>
      <c r="D301" s="135" t="str">
        <f t="shared" si="4"/>
        <v>L9-2</v>
      </c>
    </row>
    <row r="302" spans="1:4">
      <c r="A302" s="139" t="s">
        <v>2427</v>
      </c>
      <c r="B302" s="139" t="s">
        <v>66</v>
      </c>
      <c r="C302" s="139">
        <v>2</v>
      </c>
      <c r="D302" s="135" t="str">
        <f t="shared" si="4"/>
        <v>L9-2</v>
      </c>
    </row>
    <row r="303" spans="1:4">
      <c r="A303" s="139" t="s">
        <v>2428</v>
      </c>
      <c r="B303" s="139" t="s">
        <v>66</v>
      </c>
      <c r="C303" s="139">
        <v>2</v>
      </c>
      <c r="D303" s="135" t="str">
        <f t="shared" si="4"/>
        <v>L9-2</v>
      </c>
    </row>
    <row r="304" spans="1:4">
      <c r="A304" s="139" t="s">
        <v>2429</v>
      </c>
      <c r="B304" s="139" t="s">
        <v>66</v>
      </c>
      <c r="C304" s="139">
        <v>2</v>
      </c>
      <c r="D304" s="135" t="str">
        <f t="shared" si="4"/>
        <v>L9-2</v>
      </c>
    </row>
    <row r="305" spans="1:4">
      <c r="A305" s="139" t="s">
        <v>2430</v>
      </c>
      <c r="B305" s="139" t="s">
        <v>66</v>
      </c>
      <c r="C305" s="139">
        <v>2</v>
      </c>
      <c r="D305" s="135" t="str">
        <f t="shared" si="4"/>
        <v>L9-2</v>
      </c>
    </row>
    <row r="306" spans="1:4">
      <c r="A306" s="139" t="s">
        <v>2431</v>
      </c>
      <c r="B306" s="139" t="s">
        <v>66</v>
      </c>
      <c r="C306" s="139">
        <v>2</v>
      </c>
      <c r="D306" s="135" t="str">
        <f t="shared" si="4"/>
        <v>L9-2</v>
      </c>
    </row>
    <row r="307" spans="1:4">
      <c r="A307" s="139" t="s">
        <v>2432</v>
      </c>
      <c r="B307" s="139" t="s">
        <v>66</v>
      </c>
      <c r="C307" s="139">
        <v>2</v>
      </c>
      <c r="D307" s="135" t="str">
        <f t="shared" si="4"/>
        <v>L9-2</v>
      </c>
    </row>
    <row r="308" spans="1:4">
      <c r="A308" s="139" t="s">
        <v>2433</v>
      </c>
      <c r="B308" s="139" t="s">
        <v>66</v>
      </c>
      <c r="C308" s="139">
        <v>2</v>
      </c>
      <c r="D308" s="135" t="str">
        <f t="shared" si="4"/>
        <v>L9-2</v>
      </c>
    </row>
    <row r="309" spans="1:4">
      <c r="A309" s="139" t="s">
        <v>2434</v>
      </c>
      <c r="B309" s="139" t="s">
        <v>66</v>
      </c>
      <c r="C309" s="139">
        <v>2</v>
      </c>
      <c r="D309" s="135" t="str">
        <f t="shared" si="4"/>
        <v>L9-2</v>
      </c>
    </row>
    <row r="310" spans="1:4">
      <c r="A310" s="139" t="s">
        <v>2435</v>
      </c>
      <c r="B310" s="139" t="s">
        <v>66</v>
      </c>
      <c r="C310" s="139">
        <v>2</v>
      </c>
      <c r="D310" s="135" t="str">
        <f t="shared" si="4"/>
        <v>L9-2</v>
      </c>
    </row>
    <row r="311" spans="1:4">
      <c r="A311" s="139" t="s">
        <v>2436</v>
      </c>
      <c r="B311" s="139" t="s">
        <v>66</v>
      </c>
      <c r="C311" s="139">
        <v>2</v>
      </c>
      <c r="D311" s="135" t="str">
        <f t="shared" si="4"/>
        <v>L9-2</v>
      </c>
    </row>
    <row r="312" spans="1:4">
      <c r="A312" s="139" t="s">
        <v>2437</v>
      </c>
      <c r="B312" s="139" t="s">
        <v>66</v>
      </c>
      <c r="C312" s="139">
        <v>2</v>
      </c>
      <c r="D312" s="135" t="str">
        <f t="shared" si="4"/>
        <v>L9-2</v>
      </c>
    </row>
    <row r="313" spans="1:4">
      <c r="A313" s="139" t="s">
        <v>2438</v>
      </c>
      <c r="B313" s="139" t="s">
        <v>66</v>
      </c>
      <c r="C313" s="139">
        <v>2</v>
      </c>
      <c r="D313" s="135" t="str">
        <f t="shared" si="4"/>
        <v>L9-2</v>
      </c>
    </row>
    <row r="314" spans="1:4">
      <c r="A314" s="139" t="s">
        <v>2439</v>
      </c>
      <c r="B314" s="139" t="s">
        <v>66</v>
      </c>
      <c r="C314" s="139">
        <v>2</v>
      </c>
      <c r="D314" s="135" t="str">
        <f t="shared" si="4"/>
        <v>L9-2</v>
      </c>
    </row>
    <row r="315" spans="1:4">
      <c r="A315" s="139" t="s">
        <v>2440</v>
      </c>
      <c r="B315" s="139" t="s">
        <v>66</v>
      </c>
      <c r="C315" s="139">
        <v>2</v>
      </c>
      <c r="D315" s="135" t="str">
        <f t="shared" si="4"/>
        <v>L9-2</v>
      </c>
    </row>
    <row r="316" spans="1:4">
      <c r="A316" s="139" t="s">
        <v>2441</v>
      </c>
      <c r="B316" s="139" t="s">
        <v>66</v>
      </c>
      <c r="C316" s="139">
        <v>2</v>
      </c>
      <c r="D316" s="135" t="str">
        <f t="shared" si="4"/>
        <v>L9-2</v>
      </c>
    </row>
    <row r="317" spans="1:4">
      <c r="A317" s="139" t="s">
        <v>2442</v>
      </c>
      <c r="B317" s="139" t="s">
        <v>66</v>
      </c>
      <c r="C317" s="139">
        <v>2</v>
      </c>
      <c r="D317" s="135" t="str">
        <f t="shared" si="4"/>
        <v>L9-2</v>
      </c>
    </row>
    <row r="318" spans="1:4">
      <c r="A318" s="139" t="s">
        <v>2443</v>
      </c>
      <c r="B318" s="139" t="s">
        <v>66</v>
      </c>
      <c r="C318" s="139">
        <v>2</v>
      </c>
      <c r="D318" s="135" t="str">
        <f t="shared" si="4"/>
        <v>L9-2</v>
      </c>
    </row>
    <row r="319" spans="1:4">
      <c r="A319" s="139" t="s">
        <v>2444</v>
      </c>
      <c r="B319" s="139" t="s">
        <v>66</v>
      </c>
      <c r="C319" s="139">
        <v>2</v>
      </c>
      <c r="D319" s="135" t="str">
        <f t="shared" si="4"/>
        <v>L9-2</v>
      </c>
    </row>
    <row r="320" spans="1:4">
      <c r="A320" s="139" t="s">
        <v>2445</v>
      </c>
      <c r="B320" s="139" t="s">
        <v>66</v>
      </c>
      <c r="C320" s="139">
        <v>2</v>
      </c>
      <c r="D320" s="135" t="str">
        <f t="shared" si="4"/>
        <v>L9-2</v>
      </c>
    </row>
    <row r="321" spans="1:4">
      <c r="A321" s="139" t="s">
        <v>2446</v>
      </c>
      <c r="B321" s="139" t="s">
        <v>66</v>
      </c>
      <c r="C321" s="139">
        <v>2</v>
      </c>
      <c r="D321" s="135" t="str">
        <f t="shared" si="4"/>
        <v>L9-2</v>
      </c>
    </row>
    <row r="322" spans="1:4">
      <c r="A322" s="139" t="s">
        <v>2447</v>
      </c>
      <c r="B322" s="139" t="s">
        <v>66</v>
      </c>
      <c r="C322" s="139">
        <v>2</v>
      </c>
      <c r="D322" s="135" t="str">
        <f t="shared" ref="D322:D333" si="5">B322&amp;"-"&amp;C322</f>
        <v>L9-2</v>
      </c>
    </row>
    <row r="323" spans="1:4">
      <c r="A323" s="139" t="s">
        <v>2448</v>
      </c>
      <c r="B323" s="139" t="s">
        <v>66</v>
      </c>
      <c r="C323" s="139">
        <v>2</v>
      </c>
      <c r="D323" s="135" t="str">
        <f t="shared" si="5"/>
        <v>L9-2</v>
      </c>
    </row>
    <row r="324" spans="1:4">
      <c r="A324" s="139" t="s">
        <v>2449</v>
      </c>
      <c r="B324" s="139" t="s">
        <v>66</v>
      </c>
      <c r="C324" s="139">
        <v>2</v>
      </c>
      <c r="D324" s="135" t="str">
        <f t="shared" si="5"/>
        <v>L9-2</v>
      </c>
    </row>
    <row r="325" spans="1:4">
      <c r="A325" s="139" t="s">
        <v>2450</v>
      </c>
      <c r="B325" s="139" t="s">
        <v>66</v>
      </c>
      <c r="C325" s="139">
        <v>2</v>
      </c>
      <c r="D325" s="135" t="str">
        <f t="shared" si="5"/>
        <v>L9-2</v>
      </c>
    </row>
    <row r="326" spans="1:4">
      <c r="A326" s="140" t="s">
        <v>1555</v>
      </c>
      <c r="B326" s="139" t="s">
        <v>66</v>
      </c>
      <c r="C326" s="139">
        <v>2</v>
      </c>
      <c r="D326" s="135" t="str">
        <f t="shared" si="5"/>
        <v>L9-2</v>
      </c>
    </row>
    <row r="327" spans="1:4">
      <c r="A327" s="139" t="s">
        <v>2451</v>
      </c>
      <c r="B327" s="139" t="s">
        <v>66</v>
      </c>
      <c r="C327" s="139">
        <v>3</v>
      </c>
      <c r="D327" s="135" t="str">
        <f t="shared" si="5"/>
        <v>L9-3</v>
      </c>
    </row>
    <row r="328" spans="1:4">
      <c r="A328" s="139" t="s">
        <v>2452</v>
      </c>
      <c r="B328" s="139" t="s">
        <v>66</v>
      </c>
      <c r="C328" s="139">
        <v>3</v>
      </c>
      <c r="D328" s="135" t="str">
        <f t="shared" si="5"/>
        <v>L9-3</v>
      </c>
    </row>
    <row r="329" spans="1:4">
      <c r="A329" s="139" t="s">
        <v>2453</v>
      </c>
      <c r="B329" s="139" t="s">
        <v>66</v>
      </c>
      <c r="C329" s="139">
        <v>3</v>
      </c>
      <c r="D329" s="135" t="str">
        <f t="shared" si="5"/>
        <v>L9-3</v>
      </c>
    </row>
    <row r="330" spans="1:4">
      <c r="A330" s="139" t="s">
        <v>2454</v>
      </c>
      <c r="B330" s="139" t="s">
        <v>66</v>
      </c>
      <c r="C330" s="139">
        <v>3</v>
      </c>
      <c r="D330" s="135" t="str">
        <f t="shared" si="5"/>
        <v>L9-3</v>
      </c>
    </row>
    <row r="331" spans="1:4">
      <c r="A331" s="139" t="s">
        <v>2455</v>
      </c>
      <c r="B331" s="139" t="s">
        <v>66</v>
      </c>
      <c r="C331" s="139">
        <v>3</v>
      </c>
      <c r="D331" s="135" t="str">
        <f t="shared" si="5"/>
        <v>L9-3</v>
      </c>
    </row>
    <row r="332" spans="1:4">
      <c r="A332" s="139" t="s">
        <v>2456</v>
      </c>
      <c r="B332" s="139" t="s">
        <v>66</v>
      </c>
      <c r="C332" s="139">
        <v>3</v>
      </c>
      <c r="D332" s="135" t="str">
        <f t="shared" si="5"/>
        <v>L9-3</v>
      </c>
    </row>
    <row r="333" spans="1:4">
      <c r="A333" s="139" t="s">
        <v>328</v>
      </c>
      <c r="B333" s="139" t="s">
        <v>66</v>
      </c>
      <c r="C333" s="139">
        <v>9</v>
      </c>
      <c r="D333" s="135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5"/>
  <cols>
    <col min="1" max="1" width="10.25" style="300" bestFit="1" customWidth="1"/>
  </cols>
  <sheetData>
    <row r="1" spans="1:7" ht="16.5" customHeight="1">
      <c r="A1" t="s">
        <v>2457</v>
      </c>
      <c r="B1" t="s">
        <v>375</v>
      </c>
      <c r="C1" t="s">
        <v>2015</v>
      </c>
      <c r="D1" s="313" t="s">
        <v>385</v>
      </c>
      <c r="F1" t="s">
        <v>68</v>
      </c>
      <c r="G1" t="s">
        <v>654</v>
      </c>
    </row>
    <row r="2" spans="1:7" ht="16.5" customHeight="1">
      <c r="B2" t="s">
        <v>385</v>
      </c>
      <c r="D2" s="313" t="s">
        <v>397</v>
      </c>
      <c r="G2" t="s">
        <v>841</v>
      </c>
    </row>
    <row r="3" spans="1:7" ht="16.5" customHeight="1">
      <c r="B3" t="s">
        <v>387</v>
      </c>
      <c r="D3" s="313" t="s">
        <v>375</v>
      </c>
      <c r="G3" t="s">
        <v>830</v>
      </c>
    </row>
    <row r="4" spans="1:7" ht="16.5" customHeight="1">
      <c r="B4" t="s">
        <v>393</v>
      </c>
      <c r="D4" s="313" t="s">
        <v>683</v>
      </c>
      <c r="G4" t="s">
        <v>645</v>
      </c>
    </row>
    <row r="5" spans="1:7" ht="16.5" customHeight="1">
      <c r="B5" t="s">
        <v>395</v>
      </c>
      <c r="D5" s="313" t="s">
        <v>679</v>
      </c>
      <c r="G5" t="s">
        <v>828</v>
      </c>
    </row>
    <row r="6" spans="1:7" ht="16.5" customHeight="1">
      <c r="B6" t="s">
        <v>397</v>
      </c>
      <c r="D6" s="313" t="s">
        <v>832</v>
      </c>
      <c r="G6" t="s">
        <v>479</v>
      </c>
    </row>
    <row r="7" spans="1:7" ht="16.5" customHeight="1">
      <c r="B7" t="s">
        <v>399</v>
      </c>
      <c r="D7" s="313" t="s">
        <v>387</v>
      </c>
      <c r="G7" t="s">
        <v>671</v>
      </c>
    </row>
    <row r="8" spans="1:7" ht="16.5" customHeight="1">
      <c r="B8" t="s">
        <v>450</v>
      </c>
      <c r="D8" s="313" t="s">
        <v>399</v>
      </c>
      <c r="G8" t="s">
        <v>648</v>
      </c>
    </row>
    <row r="9" spans="1:7" ht="16.5" customHeight="1">
      <c r="B9" t="s">
        <v>454</v>
      </c>
      <c r="D9" s="313" t="s">
        <v>471</v>
      </c>
      <c r="G9" t="s">
        <v>761</v>
      </c>
    </row>
    <row r="10" spans="1:7" ht="16.5" customHeight="1">
      <c r="B10" t="s">
        <v>452</v>
      </c>
      <c r="D10" s="313" t="s">
        <v>477</v>
      </c>
      <c r="G10" t="s">
        <v>687</v>
      </c>
    </row>
    <row r="11" spans="1:7" ht="16.5" customHeight="1">
      <c r="B11" t="s">
        <v>458</v>
      </c>
      <c r="D11" s="313" t="s">
        <v>481</v>
      </c>
      <c r="G11" t="s">
        <v>689</v>
      </c>
    </row>
    <row r="12" spans="1:7" ht="16.5" customHeight="1">
      <c r="B12" t="s">
        <v>471</v>
      </c>
      <c r="D12" s="313" t="s">
        <v>636</v>
      </c>
      <c r="G12" t="s">
        <v>661</v>
      </c>
    </row>
    <row r="13" spans="1:7" ht="16.5" customHeight="1">
      <c r="B13" t="s">
        <v>477</v>
      </c>
      <c r="D13" s="313" t="s">
        <v>643</v>
      </c>
      <c r="G13" t="s">
        <v>663</v>
      </c>
    </row>
    <row r="14" spans="1:7" ht="16.5" customHeight="1">
      <c r="B14" t="s">
        <v>479</v>
      </c>
      <c r="D14" s="313" t="s">
        <v>450</v>
      </c>
      <c r="G14" t="s">
        <v>837</v>
      </c>
    </row>
    <row r="15" spans="1:7" ht="16.5" customHeight="1">
      <c r="B15" t="s">
        <v>481</v>
      </c>
      <c r="D15" s="313" t="s">
        <v>452</v>
      </c>
      <c r="G15" t="s">
        <v>474</v>
      </c>
    </row>
    <row r="16" spans="1:7" ht="16.5" customHeight="1">
      <c r="B16" t="s">
        <v>474</v>
      </c>
      <c r="D16" s="313" t="s">
        <v>458</v>
      </c>
    </row>
    <row r="17" spans="2:8" ht="16.5" customHeight="1">
      <c r="B17" t="s">
        <v>636</v>
      </c>
      <c r="D17" s="313" t="s">
        <v>765</v>
      </c>
      <c r="G17" t="s">
        <v>671</v>
      </c>
      <c r="H17" t="s">
        <v>2097</v>
      </c>
    </row>
    <row r="18" spans="2:8" ht="16.5" customHeight="1">
      <c r="B18" t="s">
        <v>645</v>
      </c>
      <c r="D18" s="313" t="s">
        <v>454</v>
      </c>
      <c r="G18" t="s">
        <v>841</v>
      </c>
      <c r="H18" t="s">
        <v>2112</v>
      </c>
    </row>
    <row r="19" spans="2:8" ht="16.5" customHeight="1">
      <c r="B19" t="s">
        <v>643</v>
      </c>
      <c r="D19" s="313" t="s">
        <v>665</v>
      </c>
    </row>
    <row r="20" spans="2:8" ht="16.5" customHeight="1">
      <c r="B20" t="s">
        <v>648</v>
      </c>
      <c r="D20" s="313" t="s">
        <v>393</v>
      </c>
    </row>
    <row r="21" spans="2:8" ht="16.5" customHeight="1">
      <c r="B21" t="s">
        <v>654</v>
      </c>
      <c r="D21" s="313" t="s">
        <v>395</v>
      </c>
    </row>
    <row r="22" spans="2:8" ht="16.5" customHeight="1">
      <c r="B22" t="s">
        <v>679</v>
      </c>
      <c r="D22" s="313" t="s">
        <v>469</v>
      </c>
    </row>
    <row r="23" spans="2:8" ht="16.5" customHeight="1">
      <c r="B23" t="s">
        <v>683</v>
      </c>
      <c r="D23" s="313"/>
    </row>
    <row r="24" spans="2:8" ht="16.5" customHeight="1">
      <c r="B24" t="s">
        <v>661</v>
      </c>
      <c r="D24" s="313"/>
    </row>
    <row r="25" spans="2:8" ht="16.5" customHeight="1">
      <c r="B25" t="s">
        <v>687</v>
      </c>
      <c r="D25" s="313"/>
    </row>
    <row r="26" spans="2:8" ht="16.5" customHeight="1">
      <c r="B26" t="s">
        <v>689</v>
      </c>
      <c r="D26" s="313"/>
    </row>
    <row r="27" spans="2:8" ht="16.5" customHeight="1">
      <c r="B27" t="s">
        <v>671</v>
      </c>
      <c r="D27" s="313"/>
    </row>
    <row r="28" spans="2:8" ht="16.5" customHeight="1">
      <c r="B28" t="s">
        <v>665</v>
      </c>
      <c r="D28" s="313"/>
    </row>
    <row r="29" spans="2:8" ht="16.5" customHeight="1">
      <c r="B29" t="s">
        <v>663</v>
      </c>
      <c r="D29" s="313"/>
    </row>
    <row r="30" spans="2:8" ht="16.5" customHeight="1">
      <c r="B30" t="s">
        <v>469</v>
      </c>
      <c r="D30" s="313"/>
    </row>
    <row r="31" spans="2:8" ht="16.5" customHeight="1">
      <c r="B31" t="s">
        <v>761</v>
      </c>
      <c r="D31" s="313"/>
    </row>
    <row r="32" spans="2:8" ht="16.5" customHeight="1">
      <c r="B32" t="s">
        <v>765</v>
      </c>
      <c r="D32" s="313"/>
    </row>
    <row r="33" spans="2:3">
      <c r="B33" t="s">
        <v>828</v>
      </c>
    </row>
    <row r="34" spans="2:3">
      <c r="B34" t="s">
        <v>830</v>
      </c>
    </row>
    <row r="35" spans="2:3">
      <c r="B35" t="s">
        <v>837</v>
      </c>
    </row>
    <row r="36" spans="2:3">
      <c r="B36" t="s">
        <v>832</v>
      </c>
    </row>
    <row r="37" spans="2:3">
      <c r="B37" t="s">
        <v>841</v>
      </c>
    </row>
    <row r="39" spans="2:3">
      <c r="B39" t="s">
        <v>763</v>
      </c>
      <c r="C39" t="s">
        <v>2101</v>
      </c>
    </row>
    <row r="41" spans="2:3">
      <c r="C41" t="s">
        <v>1642</v>
      </c>
    </row>
    <row r="42" spans="2:3">
      <c r="C42" t="s">
        <v>1645</v>
      </c>
    </row>
    <row r="43" spans="2:3">
      <c r="B43" t="s">
        <v>460</v>
      </c>
      <c r="C43" t="s">
        <v>1651</v>
      </c>
    </row>
    <row r="44" spans="2:3">
      <c r="C44" t="s">
        <v>1742</v>
      </c>
    </row>
    <row r="45" spans="2:3">
      <c r="C45" t="s">
        <v>1849</v>
      </c>
    </row>
    <row r="46" spans="2:3">
      <c r="C46" t="s">
        <v>1905</v>
      </c>
    </row>
    <row r="47" spans="2:3">
      <c r="C47" t="s">
        <v>1906</v>
      </c>
    </row>
    <row r="48" spans="2:3">
      <c r="C48" t="s">
        <v>1907</v>
      </c>
    </row>
    <row r="49" spans="3:3">
      <c r="C49" t="s">
        <v>1908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300" customWidth="1"/>
    <col min="6" max="6" width="10.25" style="300" bestFit="1" customWidth="1"/>
  </cols>
  <sheetData>
    <row r="1" spans="1:10" ht="16.5" customHeight="1">
      <c r="A1" s="286" t="s">
        <v>2458</v>
      </c>
      <c r="B1" s="313" t="s">
        <v>299</v>
      </c>
      <c r="C1" t="s">
        <v>857</v>
      </c>
      <c r="D1" t="s">
        <v>1661</v>
      </c>
      <c r="F1" s="286" t="s">
        <v>2458</v>
      </c>
      <c r="G1" t="s">
        <v>375</v>
      </c>
      <c r="I1" t="s">
        <v>689</v>
      </c>
      <c r="J1" t="s">
        <v>2095</v>
      </c>
    </row>
    <row r="2" spans="1:10" ht="16.5" customHeight="1">
      <c r="B2" s="313" t="s">
        <v>207</v>
      </c>
      <c r="C2" t="s">
        <v>863</v>
      </c>
      <c r="D2" t="s">
        <v>1696</v>
      </c>
      <c r="G2" t="s">
        <v>385</v>
      </c>
      <c r="I2" t="s">
        <v>671</v>
      </c>
      <c r="J2" t="s">
        <v>2097</v>
      </c>
    </row>
    <row r="3" spans="1:10" ht="16.5" customHeight="1">
      <c r="B3" s="313" t="s">
        <v>211</v>
      </c>
      <c r="C3" t="s">
        <v>230</v>
      </c>
      <c r="D3" t="s">
        <v>1706</v>
      </c>
      <c r="G3" t="s">
        <v>387</v>
      </c>
      <c r="I3" t="s">
        <v>763</v>
      </c>
      <c r="J3" t="s">
        <v>2101</v>
      </c>
    </row>
    <row r="4" spans="1:10" ht="16.5" customHeight="1">
      <c r="B4" s="313" t="s">
        <v>215</v>
      </c>
      <c r="C4" t="s">
        <v>434</v>
      </c>
      <c r="D4" t="s">
        <v>1741</v>
      </c>
      <c r="G4" t="s">
        <v>393</v>
      </c>
      <c r="I4" t="s">
        <v>841</v>
      </c>
      <c r="J4" t="s">
        <v>2112</v>
      </c>
    </row>
    <row r="5" spans="1:10" ht="16.5" customHeight="1">
      <c r="B5" s="313" t="s">
        <v>218</v>
      </c>
      <c r="C5" t="s">
        <v>275</v>
      </c>
      <c r="D5" t="s">
        <v>1900</v>
      </c>
      <c r="G5" t="s">
        <v>395</v>
      </c>
    </row>
    <row r="6" spans="1:10" ht="16.5" customHeight="1">
      <c r="B6" s="77" t="s">
        <v>224</v>
      </c>
      <c r="C6" t="s">
        <v>275</v>
      </c>
      <c r="D6" t="s">
        <v>1967</v>
      </c>
      <c r="G6" t="s">
        <v>397</v>
      </c>
    </row>
    <row r="7" spans="1:10" ht="16.5" customHeight="1">
      <c r="B7" s="313" t="s">
        <v>227</v>
      </c>
      <c r="G7" t="s">
        <v>399</v>
      </c>
    </row>
    <row r="8" spans="1:10" ht="16.5" customHeight="1">
      <c r="B8" s="313" t="s">
        <v>230</v>
      </c>
      <c r="C8" t="s">
        <v>215</v>
      </c>
      <c r="D8" t="s">
        <v>2013</v>
      </c>
      <c r="G8" t="s">
        <v>450</v>
      </c>
    </row>
    <row r="9" spans="1:10" ht="16.5" customHeight="1">
      <c r="B9" s="72" t="s">
        <v>233</v>
      </c>
      <c r="D9" t="s">
        <v>2016</v>
      </c>
      <c r="G9" t="s">
        <v>454</v>
      </c>
      <c r="J9" t="s">
        <v>1642</v>
      </c>
    </row>
    <row r="10" spans="1:10" ht="16.5" customHeight="1">
      <c r="B10" s="313" t="s">
        <v>252</v>
      </c>
      <c r="C10" t="s">
        <v>255</v>
      </c>
      <c r="D10" t="s">
        <v>2028</v>
      </c>
      <c r="G10" t="s">
        <v>452</v>
      </c>
      <c r="J10" t="s">
        <v>1645</v>
      </c>
    </row>
    <row r="11" spans="1:10" ht="16.5" customHeight="1">
      <c r="B11" s="313" t="s">
        <v>255</v>
      </c>
      <c r="D11" t="s">
        <v>2033</v>
      </c>
      <c r="G11" t="s">
        <v>458</v>
      </c>
      <c r="J11" t="s">
        <v>1651</v>
      </c>
    </row>
    <row r="12" spans="1:10" ht="16.5" customHeight="1">
      <c r="B12" s="313" t="s">
        <v>237</v>
      </c>
      <c r="D12" t="s">
        <v>2051</v>
      </c>
      <c r="G12" t="s">
        <v>471</v>
      </c>
      <c r="I12" t="s">
        <v>474</v>
      </c>
      <c r="J12" t="s">
        <v>1742</v>
      </c>
    </row>
    <row r="13" spans="1:10" ht="16.5" customHeight="1">
      <c r="B13" s="313" t="s">
        <v>242</v>
      </c>
      <c r="D13" t="s">
        <v>1987</v>
      </c>
      <c r="G13" t="s">
        <v>477</v>
      </c>
      <c r="I13" t="s">
        <v>661</v>
      </c>
      <c r="J13" t="s">
        <v>1849</v>
      </c>
    </row>
    <row r="14" spans="1:10" ht="16.5" customHeight="1">
      <c r="B14" s="313" t="s">
        <v>244</v>
      </c>
      <c r="C14" t="s">
        <v>272</v>
      </c>
      <c r="D14" t="s">
        <v>2054</v>
      </c>
      <c r="G14" t="s">
        <v>479</v>
      </c>
      <c r="I14" t="s">
        <v>448</v>
      </c>
      <c r="J14" t="s">
        <v>1905</v>
      </c>
    </row>
    <row r="15" spans="1:10" ht="16.5" customHeight="1">
      <c r="B15" s="313" t="s">
        <v>272</v>
      </c>
      <c r="D15" t="s">
        <v>2055</v>
      </c>
      <c r="G15" t="s">
        <v>481</v>
      </c>
      <c r="I15" t="s">
        <v>454</v>
      </c>
      <c r="J15" t="s">
        <v>1906</v>
      </c>
    </row>
    <row r="16" spans="1:10" ht="16.5" customHeight="1">
      <c r="B16" s="313" t="s">
        <v>275</v>
      </c>
      <c r="D16" t="s">
        <v>2060</v>
      </c>
      <c r="G16" t="s">
        <v>474</v>
      </c>
      <c r="I16" t="s">
        <v>460</v>
      </c>
      <c r="J16" t="s">
        <v>1907</v>
      </c>
    </row>
    <row r="17" spans="2:10" ht="16.5" customHeight="1">
      <c r="B17" s="313" t="s">
        <v>277</v>
      </c>
      <c r="D17" t="s">
        <v>2061</v>
      </c>
      <c r="G17" t="s">
        <v>636</v>
      </c>
      <c r="J17" t="s">
        <v>1908</v>
      </c>
    </row>
    <row r="18" spans="2:10" ht="16.5" customHeight="1">
      <c r="B18" s="313" t="s">
        <v>285</v>
      </c>
      <c r="C18" t="s">
        <v>872</v>
      </c>
      <c r="D18" t="s">
        <v>2117</v>
      </c>
      <c r="G18" t="s">
        <v>645</v>
      </c>
    </row>
    <row r="19" spans="2:10" ht="16.5" customHeight="1">
      <c r="B19" s="313" t="s">
        <v>282</v>
      </c>
      <c r="C19" t="s">
        <v>891</v>
      </c>
      <c r="D19" t="s">
        <v>2118</v>
      </c>
      <c r="G19" t="s">
        <v>643</v>
      </c>
    </row>
    <row r="20" spans="2:10" ht="16.5" customHeight="1">
      <c r="B20" s="313" t="s">
        <v>1400</v>
      </c>
      <c r="G20" t="s">
        <v>648</v>
      </c>
    </row>
    <row r="21" spans="2:10" ht="16.5" customHeight="1">
      <c r="B21" s="313" t="s">
        <v>1403</v>
      </c>
      <c r="G21" t="s">
        <v>654</v>
      </c>
    </row>
    <row r="22" spans="2:10" ht="16.5" customHeight="1">
      <c r="B22" s="313" t="s">
        <v>303</v>
      </c>
      <c r="G22" t="s">
        <v>679</v>
      </c>
    </row>
    <row r="23" spans="2:10" ht="16.5" customHeight="1">
      <c r="B23" s="313" t="s">
        <v>1408</v>
      </c>
      <c r="G23" t="s">
        <v>683</v>
      </c>
    </row>
    <row r="24" spans="2:10" ht="16.5" customHeight="1">
      <c r="B24" s="313" t="s">
        <v>1411</v>
      </c>
      <c r="G24" t="s">
        <v>661</v>
      </c>
    </row>
    <row r="25" spans="2:10" ht="16.5" customHeight="1">
      <c r="B25" s="313" t="s">
        <v>1413</v>
      </c>
      <c r="G25" t="s">
        <v>687</v>
      </c>
    </row>
    <row r="26" spans="2:10" ht="16.5" customHeight="1">
      <c r="B26" s="313" t="s">
        <v>1405</v>
      </c>
      <c r="G26" t="s">
        <v>689</v>
      </c>
    </row>
    <row r="27" spans="2:10" ht="16.5" customHeight="1">
      <c r="B27" s="313" t="s">
        <v>307</v>
      </c>
      <c r="G27" t="s">
        <v>671</v>
      </c>
    </row>
    <row r="28" spans="2:10" ht="16.5" customHeight="1">
      <c r="B28" s="313" t="s">
        <v>310</v>
      </c>
      <c r="G28" t="s">
        <v>665</v>
      </c>
    </row>
    <row r="29" spans="2:10" ht="16.5" customHeight="1">
      <c r="B29" s="313" t="s">
        <v>312</v>
      </c>
      <c r="G29" t="s">
        <v>663</v>
      </c>
    </row>
    <row r="30" spans="2:10" ht="16.5" customHeight="1">
      <c r="B30" s="313" t="s">
        <v>317</v>
      </c>
      <c r="G30" t="s">
        <v>469</v>
      </c>
    </row>
    <row r="31" spans="2:10" ht="16.5" customHeight="1">
      <c r="B31" s="313" t="s">
        <v>321</v>
      </c>
      <c r="G31" t="s">
        <v>761</v>
      </c>
    </row>
    <row r="32" spans="2:10" ht="16.5" customHeight="1">
      <c r="B32" s="313" t="s">
        <v>354</v>
      </c>
      <c r="G32" t="s">
        <v>765</v>
      </c>
    </row>
    <row r="33" spans="2:7" ht="16.5" customHeight="1">
      <c r="B33" s="313" t="s">
        <v>357</v>
      </c>
      <c r="G33" t="s">
        <v>828</v>
      </c>
    </row>
    <row r="34" spans="2:7" ht="16.5" customHeight="1">
      <c r="B34" s="313" t="s">
        <v>434</v>
      </c>
      <c r="G34" t="s">
        <v>830</v>
      </c>
    </row>
    <row r="35" spans="2:7" ht="16.5" customHeight="1">
      <c r="B35" s="313" t="s">
        <v>438</v>
      </c>
      <c r="G35" t="s">
        <v>837</v>
      </c>
    </row>
    <row r="36" spans="2:7" ht="16.5" customHeight="1">
      <c r="B36" s="313" t="s">
        <v>441</v>
      </c>
      <c r="G36" t="s">
        <v>832</v>
      </c>
    </row>
    <row r="37" spans="2:7" ht="16.5" customHeight="1">
      <c r="B37" s="313" t="s">
        <v>736</v>
      </c>
      <c r="G37" t="s">
        <v>841</v>
      </c>
    </row>
    <row r="38" spans="2:7" ht="16.5" customHeight="1">
      <c r="B38" s="313" t="s">
        <v>878</v>
      </c>
    </row>
    <row r="39" spans="2:7" ht="16.5" customHeight="1">
      <c r="B39" s="313" t="s">
        <v>811</v>
      </c>
      <c r="G39" t="s">
        <v>763</v>
      </c>
    </row>
    <row r="40" spans="2:7" ht="16.5" customHeight="1">
      <c r="B40" s="313" t="s">
        <v>869</v>
      </c>
      <c r="G40" s="286"/>
    </row>
    <row r="41" spans="2:7" ht="16.5" customHeight="1">
      <c r="B41" s="313" t="s">
        <v>884</v>
      </c>
      <c r="G41" s="286"/>
    </row>
    <row r="42" spans="2:7" ht="16.5" customHeight="1">
      <c r="B42" s="313" t="s">
        <v>888</v>
      </c>
      <c r="G42" t="s">
        <v>460</v>
      </c>
    </row>
    <row r="43" spans="2:7" ht="16.5" customHeight="1">
      <c r="B43" s="313" t="s">
        <v>891</v>
      </c>
      <c r="G43" s="286"/>
    </row>
    <row r="45" spans="2:7">
      <c r="B45" t="s">
        <v>857</v>
      </c>
    </row>
    <row r="46" spans="2:7">
      <c r="B46" t="s">
        <v>863</v>
      </c>
    </row>
    <row r="47" spans="2:7">
      <c r="B47" t="s">
        <v>872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75" defaultRowHeight="14.4"/>
  <cols>
    <col min="1" max="1" width="10.125" style="275" customWidth="1"/>
    <col min="2" max="2" width="39.75" style="274" customWidth="1"/>
    <col min="3" max="3" width="13.625" style="275" bestFit="1" customWidth="1"/>
    <col min="4" max="4" width="14.25" style="275" customWidth="1"/>
    <col min="5" max="5" width="15.25" style="274" bestFit="1" customWidth="1"/>
    <col min="6" max="6" width="30.875" style="274" bestFit="1" customWidth="1"/>
    <col min="7" max="9" width="8.75" style="274" customWidth="1"/>
    <col min="10" max="16384" width="8.75" style="274"/>
  </cols>
  <sheetData>
    <row r="1" spans="1:6">
      <c r="A1" s="275" t="s">
        <v>2404</v>
      </c>
      <c r="B1" s="274" t="s">
        <v>2459</v>
      </c>
      <c r="C1" s="275" t="s">
        <v>2405</v>
      </c>
      <c r="D1" s="275" t="s">
        <v>2406</v>
      </c>
      <c r="E1" s="275" t="s">
        <v>30</v>
      </c>
      <c r="F1" s="275" t="s">
        <v>111</v>
      </c>
    </row>
    <row r="2" spans="1:6">
      <c r="A2" s="275" t="s">
        <v>463</v>
      </c>
      <c r="B2" s="274" t="s">
        <v>2460</v>
      </c>
      <c r="C2" s="275" t="s">
        <v>59</v>
      </c>
      <c r="D2" s="275">
        <v>6</v>
      </c>
      <c r="E2" s="274" t="s">
        <v>2461</v>
      </c>
      <c r="F2" s="274" t="s">
        <v>2462</v>
      </c>
    </row>
    <row r="3" spans="1:6">
      <c r="A3" s="275" t="s">
        <v>465</v>
      </c>
      <c r="B3" s="274" t="s">
        <v>2463</v>
      </c>
      <c r="C3" s="275" t="s">
        <v>59</v>
      </c>
      <c r="D3" s="275">
        <v>6</v>
      </c>
      <c r="E3" s="274" t="s">
        <v>2461</v>
      </c>
      <c r="F3" s="274" t="s">
        <v>2462</v>
      </c>
    </row>
    <row r="4" spans="1:6">
      <c r="A4" s="275" t="s">
        <v>460</v>
      </c>
      <c r="B4" s="274" t="s">
        <v>2464</v>
      </c>
      <c r="C4" s="275" t="s">
        <v>59</v>
      </c>
      <c r="D4" s="275">
        <v>6</v>
      </c>
      <c r="E4" s="274" t="s">
        <v>2461</v>
      </c>
      <c r="F4" s="274" t="s">
        <v>2462</v>
      </c>
    </row>
    <row r="5" spans="1:6">
      <c r="A5" s="275" t="s">
        <v>469</v>
      </c>
      <c r="B5" s="274" t="s">
        <v>2465</v>
      </c>
      <c r="C5" s="275" t="s">
        <v>59</v>
      </c>
      <c r="D5" s="275">
        <v>6</v>
      </c>
      <c r="E5" s="274" t="s">
        <v>2461</v>
      </c>
      <c r="F5" s="274" t="s">
        <v>2462</v>
      </c>
    </row>
    <row r="6" spans="1:6">
      <c r="A6" s="275" t="s">
        <v>634</v>
      </c>
      <c r="B6" s="274" t="s">
        <v>2466</v>
      </c>
      <c r="C6" s="275" t="s">
        <v>59</v>
      </c>
      <c r="D6" s="275">
        <v>5</v>
      </c>
      <c r="E6" s="274" t="s">
        <v>2461</v>
      </c>
      <c r="F6" s="274" t="s">
        <v>2467</v>
      </c>
    </row>
    <row r="7" spans="1:6">
      <c r="A7" s="275" t="s">
        <v>636</v>
      </c>
      <c r="B7" s="274" t="s">
        <v>2468</v>
      </c>
      <c r="C7" s="275" t="s">
        <v>59</v>
      </c>
      <c r="D7" s="275">
        <v>5</v>
      </c>
      <c r="E7" s="274" t="s">
        <v>2461</v>
      </c>
      <c r="F7" s="274" t="s">
        <v>2467</v>
      </c>
    </row>
    <row r="8" spans="1:6">
      <c r="A8" s="275" t="s">
        <v>643</v>
      </c>
      <c r="B8" s="274" t="s">
        <v>2469</v>
      </c>
      <c r="C8" s="275" t="s">
        <v>59</v>
      </c>
      <c r="D8" s="275">
        <v>5</v>
      </c>
      <c r="E8" s="274" t="s">
        <v>2461</v>
      </c>
      <c r="F8" s="274" t="s">
        <v>2467</v>
      </c>
    </row>
    <row r="9" spans="1:6">
      <c r="A9" s="275" t="s">
        <v>424</v>
      </c>
      <c r="B9" s="274" t="s">
        <v>2470</v>
      </c>
      <c r="C9" s="275" t="s">
        <v>59</v>
      </c>
      <c r="D9" s="275">
        <v>7</v>
      </c>
      <c r="E9" s="274" t="s">
        <v>2461</v>
      </c>
      <c r="F9" s="274" t="s">
        <v>2471</v>
      </c>
    </row>
    <row r="10" spans="1:6">
      <c r="A10" s="275" t="s">
        <v>687</v>
      </c>
      <c r="B10" s="274" t="s">
        <v>2472</v>
      </c>
      <c r="C10" s="275" t="s">
        <v>59</v>
      </c>
      <c r="D10" s="275">
        <v>7</v>
      </c>
      <c r="E10" s="274" t="s">
        <v>2461</v>
      </c>
      <c r="F10" s="274" t="s">
        <v>2471</v>
      </c>
    </row>
    <row r="11" spans="1:6">
      <c r="A11" s="275" t="s">
        <v>689</v>
      </c>
      <c r="B11" s="274" t="s">
        <v>2473</v>
      </c>
      <c r="C11" s="275" t="s">
        <v>59</v>
      </c>
      <c r="D11" s="275">
        <v>7</v>
      </c>
      <c r="E11" s="274" t="s">
        <v>2461</v>
      </c>
      <c r="F11" s="274" t="s">
        <v>2471</v>
      </c>
    </row>
    <row r="12" spans="1:6">
      <c r="A12" s="275" t="s">
        <v>975</v>
      </c>
      <c r="B12" s="274" t="s">
        <v>976</v>
      </c>
      <c r="C12" s="275" t="s">
        <v>61</v>
      </c>
      <c r="D12" s="275">
        <v>1</v>
      </c>
      <c r="E12" s="274" t="s">
        <v>2474</v>
      </c>
      <c r="F12" s="274" t="s">
        <v>2475</v>
      </c>
    </row>
    <row r="13" spans="1:6">
      <c r="A13" s="275" t="s">
        <v>983</v>
      </c>
      <c r="B13" s="274" t="s">
        <v>2476</v>
      </c>
      <c r="C13" s="275" t="s">
        <v>61</v>
      </c>
      <c r="D13" s="275">
        <v>1</v>
      </c>
      <c r="E13" s="274" t="s">
        <v>2474</v>
      </c>
      <c r="F13" s="274" t="s">
        <v>2475</v>
      </c>
    </row>
    <row r="14" spans="1:6">
      <c r="A14" s="275" t="s">
        <v>989</v>
      </c>
      <c r="B14" s="274" t="s">
        <v>990</v>
      </c>
      <c r="C14" s="275" t="s">
        <v>61</v>
      </c>
      <c r="D14" s="275">
        <v>1</v>
      </c>
      <c r="E14" s="274" t="s">
        <v>2474</v>
      </c>
      <c r="F14" s="274" t="s">
        <v>2475</v>
      </c>
    </row>
    <row r="15" spans="1:6">
      <c r="A15" s="275" t="s">
        <v>995</v>
      </c>
      <c r="B15" s="274" t="s">
        <v>996</v>
      </c>
      <c r="C15" s="275" t="s">
        <v>61</v>
      </c>
      <c r="D15" s="275">
        <v>1</v>
      </c>
      <c r="E15" s="274" t="s">
        <v>2474</v>
      </c>
      <c r="F15" s="274" t="s">
        <v>2475</v>
      </c>
    </row>
    <row r="16" spans="1:6">
      <c r="A16" s="275" t="s">
        <v>1026</v>
      </c>
      <c r="B16" s="274" t="s">
        <v>2477</v>
      </c>
      <c r="C16" s="275" t="s">
        <v>61</v>
      </c>
      <c r="D16" s="275">
        <v>2</v>
      </c>
      <c r="E16" s="274" t="s">
        <v>2474</v>
      </c>
      <c r="F16" s="274" t="s">
        <v>2478</v>
      </c>
    </row>
    <row r="17" spans="1:6">
      <c r="A17" s="275" t="s">
        <v>839</v>
      </c>
      <c r="B17" s="274" t="s">
        <v>840</v>
      </c>
      <c r="C17" s="275" t="s">
        <v>59</v>
      </c>
      <c r="D17" s="275">
        <v>3</v>
      </c>
      <c r="E17" s="274" t="s">
        <v>2461</v>
      </c>
      <c r="F17" s="274" t="s">
        <v>2479</v>
      </c>
    </row>
    <row r="18" spans="1:6">
      <c r="A18" s="275" t="s">
        <v>2411</v>
      </c>
      <c r="B18" s="274" t="s">
        <v>2480</v>
      </c>
      <c r="C18" s="275" t="s">
        <v>63</v>
      </c>
      <c r="D18" s="275">
        <v>5</v>
      </c>
      <c r="E18" s="274" t="s">
        <v>2481</v>
      </c>
      <c r="F18" s="274" t="s">
        <v>2482</v>
      </c>
    </row>
    <row r="19" spans="1:6">
      <c r="A19" s="275" t="s">
        <v>967</v>
      </c>
      <c r="B19" s="274" t="s">
        <v>968</v>
      </c>
      <c r="C19" s="275" t="s">
        <v>61</v>
      </c>
      <c r="D19" s="275">
        <v>7</v>
      </c>
      <c r="E19" s="274" t="s">
        <v>2474</v>
      </c>
      <c r="F19" s="274" t="s">
        <v>2483</v>
      </c>
    </row>
    <row r="20" spans="1:6">
      <c r="A20" s="275" t="s">
        <v>1369</v>
      </c>
      <c r="B20" s="274" t="s">
        <v>1370</v>
      </c>
      <c r="C20" s="275" t="s">
        <v>65</v>
      </c>
      <c r="D20" s="275">
        <v>3</v>
      </c>
      <c r="E20" s="274" t="s">
        <v>2484</v>
      </c>
      <c r="F20" s="274" t="s">
        <v>2485</v>
      </c>
    </row>
    <row r="21" spans="1:6">
      <c r="A21" s="275" t="s">
        <v>270</v>
      </c>
      <c r="B21" s="274" t="s">
        <v>271</v>
      </c>
      <c r="C21" s="275" t="s">
        <v>56</v>
      </c>
      <c r="D21" s="275">
        <v>3</v>
      </c>
      <c r="E21" s="274" t="s">
        <v>2486</v>
      </c>
      <c r="F21" s="274" t="s">
        <v>2487</v>
      </c>
    </row>
    <row r="22" spans="1:6">
      <c r="A22" s="275" t="s">
        <v>1080</v>
      </c>
      <c r="B22" s="274" t="s">
        <v>2488</v>
      </c>
      <c r="C22" s="275" t="s">
        <v>61</v>
      </c>
      <c r="D22" s="275">
        <v>3</v>
      </c>
      <c r="E22" s="274" t="s">
        <v>2474</v>
      </c>
      <c r="F22" s="274" t="s">
        <v>2489</v>
      </c>
    </row>
    <row r="23" spans="1:6">
      <c r="A23" s="275" t="s">
        <v>1087</v>
      </c>
      <c r="B23" s="274" t="s">
        <v>2490</v>
      </c>
      <c r="C23" s="275" t="s">
        <v>61</v>
      </c>
      <c r="D23" s="275">
        <v>3</v>
      </c>
      <c r="E23" s="274" t="s">
        <v>2474</v>
      </c>
      <c r="F23" s="274" t="s">
        <v>2489</v>
      </c>
    </row>
    <row r="24" spans="1:6">
      <c r="A24" s="275" t="s">
        <v>1415</v>
      </c>
      <c r="B24" s="274" t="s">
        <v>1416</v>
      </c>
      <c r="C24" s="275" t="s">
        <v>61</v>
      </c>
      <c r="D24" s="275">
        <v>3</v>
      </c>
      <c r="E24" s="274" t="s">
        <v>2474</v>
      </c>
      <c r="F24" s="274" t="s">
        <v>2489</v>
      </c>
    </row>
    <row r="25" spans="1:6">
      <c r="A25" s="275" t="s">
        <v>1418</v>
      </c>
      <c r="B25" s="274" t="s">
        <v>1419</v>
      </c>
      <c r="C25" s="275" t="s">
        <v>61</v>
      </c>
      <c r="D25" s="275">
        <v>3</v>
      </c>
      <c r="E25" s="274" t="s">
        <v>2474</v>
      </c>
      <c r="F25" s="274" t="s">
        <v>2489</v>
      </c>
    </row>
    <row r="26" spans="1:6">
      <c r="A26" s="275" t="s">
        <v>1101</v>
      </c>
      <c r="B26" s="274" t="s">
        <v>2491</v>
      </c>
      <c r="C26" s="275" t="s">
        <v>61</v>
      </c>
      <c r="D26" s="275">
        <v>3</v>
      </c>
      <c r="E26" s="274" t="s">
        <v>2474</v>
      </c>
      <c r="F26" s="274" t="s">
        <v>2489</v>
      </c>
    </row>
    <row r="27" spans="1:6">
      <c r="A27" s="275" t="s">
        <v>1107</v>
      </c>
      <c r="B27" s="274" t="s">
        <v>1108</v>
      </c>
      <c r="C27" s="275" t="s">
        <v>61</v>
      </c>
      <c r="D27" s="275">
        <v>3</v>
      </c>
      <c r="E27" s="274" t="s">
        <v>2474</v>
      </c>
      <c r="F27" s="274" t="s">
        <v>2489</v>
      </c>
    </row>
    <row r="28" spans="1:6">
      <c r="A28" s="275" t="s">
        <v>1099</v>
      </c>
      <c r="B28" s="274" t="s">
        <v>2492</v>
      </c>
      <c r="C28" s="275" t="s">
        <v>61</v>
      </c>
      <c r="D28" s="275">
        <v>3</v>
      </c>
      <c r="E28" s="274" t="s">
        <v>2474</v>
      </c>
      <c r="F28" s="274" t="s">
        <v>2489</v>
      </c>
    </row>
    <row r="29" spans="1:6">
      <c r="A29" s="275" t="s">
        <v>1105</v>
      </c>
      <c r="B29" s="274" t="s">
        <v>2493</v>
      </c>
      <c r="C29" s="275" t="s">
        <v>61</v>
      </c>
      <c r="D29" s="275">
        <v>3</v>
      </c>
      <c r="E29" s="274" t="s">
        <v>2474</v>
      </c>
      <c r="F29" s="274" t="s">
        <v>2489</v>
      </c>
    </row>
    <row r="30" spans="1:6">
      <c r="A30" s="275" t="s">
        <v>894</v>
      </c>
      <c r="B30" s="274" t="s">
        <v>2494</v>
      </c>
      <c r="C30" s="275" t="s">
        <v>61</v>
      </c>
      <c r="D30" s="275">
        <v>4</v>
      </c>
      <c r="E30" s="274" t="s">
        <v>2474</v>
      </c>
      <c r="F30" s="274" t="s">
        <v>2495</v>
      </c>
    </row>
    <row r="31" spans="1:6">
      <c r="A31" s="275" t="s">
        <v>490</v>
      </c>
      <c r="B31" s="274" t="s">
        <v>2496</v>
      </c>
      <c r="C31" s="275" t="s">
        <v>61</v>
      </c>
      <c r="D31" s="275">
        <v>5</v>
      </c>
      <c r="E31" s="274" t="s">
        <v>2474</v>
      </c>
      <c r="F31" s="274" t="s">
        <v>2497</v>
      </c>
    </row>
    <row r="32" spans="1:6">
      <c r="A32" s="275" t="s">
        <v>504</v>
      </c>
      <c r="B32" s="274" t="s">
        <v>2498</v>
      </c>
      <c r="C32" s="275" t="s">
        <v>61</v>
      </c>
      <c r="D32" s="275">
        <v>5</v>
      </c>
      <c r="E32" s="274" t="s">
        <v>2474</v>
      </c>
      <c r="F32" s="274" t="s">
        <v>2497</v>
      </c>
    </row>
    <row r="33" spans="1:6">
      <c r="A33" s="275" t="s">
        <v>496</v>
      </c>
      <c r="B33" s="274" t="s">
        <v>2499</v>
      </c>
      <c r="C33" s="275" t="s">
        <v>61</v>
      </c>
      <c r="D33" s="275">
        <v>5</v>
      </c>
      <c r="E33" s="274" t="s">
        <v>2474</v>
      </c>
      <c r="F33" s="274" t="s">
        <v>2497</v>
      </c>
    </row>
    <row r="34" spans="1:6">
      <c r="A34" s="275" t="s">
        <v>502</v>
      </c>
      <c r="B34" s="274" t="s">
        <v>2500</v>
      </c>
      <c r="C34" s="275" t="s">
        <v>61</v>
      </c>
      <c r="D34" s="275">
        <v>5</v>
      </c>
      <c r="E34" s="274" t="s">
        <v>2474</v>
      </c>
      <c r="F34" s="274" t="s">
        <v>2497</v>
      </c>
    </row>
    <row r="35" spans="1:6">
      <c r="A35" s="275" t="s">
        <v>513</v>
      </c>
      <c r="B35" s="274" t="s">
        <v>514</v>
      </c>
      <c r="C35" s="275" t="s">
        <v>61</v>
      </c>
      <c r="D35" s="275">
        <v>5</v>
      </c>
      <c r="E35" s="274" t="s">
        <v>2474</v>
      </c>
      <c r="F35" s="274" t="s">
        <v>2497</v>
      </c>
    </row>
    <row r="36" spans="1:6">
      <c r="A36" s="275" t="s">
        <v>515</v>
      </c>
      <c r="B36" s="274" t="s">
        <v>2501</v>
      </c>
      <c r="C36" s="275" t="s">
        <v>61</v>
      </c>
      <c r="D36" s="275">
        <v>5</v>
      </c>
      <c r="E36" s="274" t="s">
        <v>2474</v>
      </c>
      <c r="F36" s="274" t="s">
        <v>2497</v>
      </c>
    </row>
    <row r="37" spans="1:6">
      <c r="A37" s="275" t="s">
        <v>523</v>
      </c>
      <c r="B37" s="274" t="s">
        <v>524</v>
      </c>
      <c r="C37" s="275" t="s">
        <v>61</v>
      </c>
      <c r="D37" s="275">
        <v>5</v>
      </c>
      <c r="E37" s="274" t="s">
        <v>2474</v>
      </c>
      <c r="F37" s="274" t="s">
        <v>2497</v>
      </c>
    </row>
    <row r="38" spans="1:6">
      <c r="A38" s="275" t="s">
        <v>498</v>
      </c>
      <c r="B38" s="274" t="s">
        <v>499</v>
      </c>
      <c r="C38" s="275" t="s">
        <v>61</v>
      </c>
      <c r="D38" s="275">
        <v>5</v>
      </c>
      <c r="E38" s="274" t="s">
        <v>2474</v>
      </c>
      <c r="F38" s="274" t="s">
        <v>2497</v>
      </c>
    </row>
    <row r="39" spans="1:6">
      <c r="A39" s="275" t="s">
        <v>484</v>
      </c>
      <c r="B39" s="274" t="s">
        <v>2502</v>
      </c>
      <c r="C39" s="275" t="s">
        <v>61</v>
      </c>
      <c r="D39" s="275">
        <v>5</v>
      </c>
      <c r="E39" s="274" t="s">
        <v>2474</v>
      </c>
      <c r="F39" s="274" t="s">
        <v>2497</v>
      </c>
    </row>
    <row r="40" spans="1:6">
      <c r="A40" s="275" t="s">
        <v>488</v>
      </c>
      <c r="B40" s="274" t="s">
        <v>2503</v>
      </c>
      <c r="C40" s="275" t="s">
        <v>61</v>
      </c>
      <c r="D40" s="275">
        <v>5</v>
      </c>
      <c r="E40" s="274" t="s">
        <v>2474</v>
      </c>
      <c r="F40" s="274" t="s">
        <v>2497</v>
      </c>
    </row>
    <row r="41" spans="1:6">
      <c r="A41" s="275" t="s">
        <v>521</v>
      </c>
      <c r="B41" s="274" t="s">
        <v>2504</v>
      </c>
      <c r="C41" s="275" t="s">
        <v>61</v>
      </c>
      <c r="D41" s="275">
        <v>5</v>
      </c>
      <c r="E41" s="274" t="s">
        <v>2474</v>
      </c>
      <c r="F41" s="274" t="s">
        <v>2497</v>
      </c>
    </row>
    <row r="42" spans="1:6">
      <c r="A42" s="275" t="s">
        <v>533</v>
      </c>
      <c r="B42" s="274" t="s">
        <v>2505</v>
      </c>
      <c r="C42" s="275" t="s">
        <v>61</v>
      </c>
      <c r="D42" s="275">
        <v>5</v>
      </c>
      <c r="E42" s="274" t="s">
        <v>2474</v>
      </c>
      <c r="F42" s="274" t="s">
        <v>2497</v>
      </c>
    </row>
    <row r="43" spans="1:6">
      <c r="A43" s="275" t="s">
        <v>535</v>
      </c>
      <c r="B43" s="274" t="s">
        <v>2506</v>
      </c>
      <c r="C43" s="275" t="s">
        <v>61</v>
      </c>
      <c r="D43" s="275">
        <v>5</v>
      </c>
      <c r="E43" s="274" t="s">
        <v>2474</v>
      </c>
      <c r="F43" s="274" t="s">
        <v>2497</v>
      </c>
    </row>
    <row r="44" spans="1:6">
      <c r="A44" s="275" t="s">
        <v>537</v>
      </c>
      <c r="B44" s="274" t="s">
        <v>2507</v>
      </c>
      <c r="C44" s="275" t="s">
        <v>61</v>
      </c>
      <c r="D44" s="275">
        <v>5</v>
      </c>
      <c r="E44" s="274" t="s">
        <v>2474</v>
      </c>
      <c r="F44" s="274" t="s">
        <v>2497</v>
      </c>
    </row>
    <row r="45" spans="1:6">
      <c r="A45" s="275" t="s">
        <v>420</v>
      </c>
      <c r="B45" s="274" t="s">
        <v>2508</v>
      </c>
      <c r="C45" s="275" t="s">
        <v>63</v>
      </c>
      <c r="D45" s="275">
        <v>1</v>
      </c>
      <c r="E45" s="274" t="s">
        <v>2481</v>
      </c>
      <c r="F45" s="274" t="s">
        <v>2509</v>
      </c>
    </row>
    <row r="46" spans="1:6">
      <c r="A46" s="275" t="s">
        <v>1131</v>
      </c>
      <c r="B46" s="274" t="s">
        <v>2510</v>
      </c>
      <c r="C46" s="275" t="s">
        <v>63</v>
      </c>
      <c r="D46" s="275">
        <v>1</v>
      </c>
      <c r="E46" s="274" t="s">
        <v>2481</v>
      </c>
      <c r="F46" s="274" t="s">
        <v>2509</v>
      </c>
    </row>
    <row r="47" spans="1:6">
      <c r="A47" s="275" t="s">
        <v>1301</v>
      </c>
      <c r="B47" s="274" t="s">
        <v>2511</v>
      </c>
      <c r="C47" s="275" t="s">
        <v>65</v>
      </c>
      <c r="D47" s="275">
        <v>3</v>
      </c>
      <c r="E47" s="274" t="s">
        <v>2484</v>
      </c>
      <c r="F47" s="274" t="s">
        <v>2485</v>
      </c>
    </row>
    <row r="48" spans="1:6">
      <c r="A48" s="275" t="s">
        <v>414</v>
      </c>
      <c r="B48" s="274" t="s">
        <v>415</v>
      </c>
      <c r="C48" s="275" t="s">
        <v>59</v>
      </c>
      <c r="D48" s="275">
        <v>1</v>
      </c>
      <c r="E48" s="274" t="s">
        <v>2461</v>
      </c>
      <c r="F48" s="274" t="s">
        <v>376</v>
      </c>
    </row>
    <row r="49" spans="1:6">
      <c r="A49" s="275" t="s">
        <v>782</v>
      </c>
      <c r="B49" s="274" t="s">
        <v>783</v>
      </c>
      <c r="C49" s="275" t="s">
        <v>63</v>
      </c>
      <c r="D49" s="275">
        <v>2</v>
      </c>
      <c r="E49" s="274" t="s">
        <v>2481</v>
      </c>
      <c r="F49" s="274" t="s">
        <v>2512</v>
      </c>
    </row>
    <row r="50" spans="1:6">
      <c r="A50" s="275" t="s">
        <v>786</v>
      </c>
      <c r="B50" s="274" t="s">
        <v>787</v>
      </c>
      <c r="C50" s="275" t="s">
        <v>63</v>
      </c>
      <c r="D50" s="275">
        <v>2</v>
      </c>
      <c r="E50" s="274" t="s">
        <v>2481</v>
      </c>
      <c r="F50" s="274" t="s">
        <v>2512</v>
      </c>
    </row>
    <row r="51" spans="1:6">
      <c r="A51" s="275" t="s">
        <v>788</v>
      </c>
      <c r="B51" s="274" t="s">
        <v>789</v>
      </c>
      <c r="C51" s="275" t="s">
        <v>63</v>
      </c>
      <c r="D51" s="275">
        <v>2</v>
      </c>
      <c r="E51" s="274" t="s">
        <v>2481</v>
      </c>
      <c r="F51" s="274" t="s">
        <v>2512</v>
      </c>
    </row>
    <row r="52" spans="1:6">
      <c r="A52" s="275" t="s">
        <v>790</v>
      </c>
      <c r="B52" s="274" t="s">
        <v>791</v>
      </c>
      <c r="C52" s="275" t="s">
        <v>63</v>
      </c>
      <c r="D52" s="275">
        <v>2</v>
      </c>
      <c r="E52" s="274" t="s">
        <v>2481</v>
      </c>
      <c r="F52" s="274" t="s">
        <v>2512</v>
      </c>
    </row>
    <row r="53" spans="1:6">
      <c r="A53" s="275" t="s">
        <v>792</v>
      </c>
      <c r="B53" s="274" t="s">
        <v>793</v>
      </c>
      <c r="C53" s="275" t="s">
        <v>63</v>
      </c>
      <c r="D53" s="275">
        <v>2</v>
      </c>
      <c r="E53" s="274" t="s">
        <v>2481</v>
      </c>
      <c r="F53" s="274" t="s">
        <v>2512</v>
      </c>
    </row>
    <row r="54" spans="1:6">
      <c r="A54" s="275" t="s">
        <v>794</v>
      </c>
      <c r="B54" s="274" t="s">
        <v>795</v>
      </c>
      <c r="C54" s="275" t="s">
        <v>63</v>
      </c>
      <c r="D54" s="275">
        <v>2</v>
      </c>
      <c r="E54" s="274" t="s">
        <v>2481</v>
      </c>
      <c r="F54" s="274" t="s">
        <v>2512</v>
      </c>
    </row>
    <row r="55" spans="1:6">
      <c r="A55" s="275" t="s">
        <v>797</v>
      </c>
      <c r="B55" s="274" t="s">
        <v>798</v>
      </c>
      <c r="C55" s="275" t="s">
        <v>63</v>
      </c>
      <c r="D55" s="275">
        <v>2</v>
      </c>
      <c r="E55" s="274" t="s">
        <v>2481</v>
      </c>
      <c r="F55" s="274" t="s">
        <v>2512</v>
      </c>
    </row>
    <row r="56" spans="1:6">
      <c r="A56" s="275" t="s">
        <v>799</v>
      </c>
      <c r="B56" s="274" t="s">
        <v>800</v>
      </c>
      <c r="C56" s="275" t="s">
        <v>63</v>
      </c>
      <c r="D56" s="275">
        <v>2</v>
      </c>
      <c r="E56" s="274" t="s">
        <v>2481</v>
      </c>
      <c r="F56" s="274" t="s">
        <v>2512</v>
      </c>
    </row>
    <row r="57" spans="1:6">
      <c r="A57" s="275" t="s">
        <v>801</v>
      </c>
      <c r="B57" s="274" t="s">
        <v>802</v>
      </c>
      <c r="C57" s="275" t="s">
        <v>63</v>
      </c>
      <c r="D57" s="275">
        <v>2</v>
      </c>
      <c r="E57" s="274" t="s">
        <v>2481</v>
      </c>
      <c r="F57" s="274" t="s">
        <v>2512</v>
      </c>
    </row>
    <row r="58" spans="1:6">
      <c r="A58" s="275" t="s">
        <v>1146</v>
      </c>
      <c r="B58" s="274" t="s">
        <v>1147</v>
      </c>
      <c r="C58" s="275" t="s">
        <v>63</v>
      </c>
      <c r="D58" s="275">
        <v>3</v>
      </c>
      <c r="E58" s="274" t="s">
        <v>2481</v>
      </c>
      <c r="F58" s="274" t="s">
        <v>2513</v>
      </c>
    </row>
    <row r="59" spans="1:6">
      <c r="A59" s="275" t="s">
        <v>926</v>
      </c>
      <c r="B59" s="274" t="s">
        <v>2514</v>
      </c>
      <c r="C59" s="275" t="s">
        <v>65</v>
      </c>
      <c r="D59" s="275">
        <v>1</v>
      </c>
      <c r="E59" s="274" t="s">
        <v>2484</v>
      </c>
      <c r="F59" s="274" t="s">
        <v>2515</v>
      </c>
    </row>
    <row r="60" spans="1:6">
      <c r="A60" s="275" t="s">
        <v>556</v>
      </c>
      <c r="B60" s="274" t="s">
        <v>2516</v>
      </c>
      <c r="C60" s="275" t="s">
        <v>63</v>
      </c>
      <c r="D60" s="275">
        <v>6</v>
      </c>
      <c r="E60" s="274" t="s">
        <v>2481</v>
      </c>
      <c r="F60" s="274" t="s">
        <v>555</v>
      </c>
    </row>
    <row r="61" spans="1:6">
      <c r="A61" s="275" t="s">
        <v>590</v>
      </c>
      <c r="B61" s="274" t="s">
        <v>2517</v>
      </c>
      <c r="C61" s="275" t="s">
        <v>63</v>
      </c>
      <c r="D61" s="275">
        <v>6</v>
      </c>
      <c r="E61" s="274" t="s">
        <v>2481</v>
      </c>
      <c r="F61" s="274" t="s">
        <v>555</v>
      </c>
    </row>
    <row r="62" spans="1:6">
      <c r="A62" s="275" t="s">
        <v>572</v>
      </c>
      <c r="B62" s="274" t="s">
        <v>2518</v>
      </c>
      <c r="C62" s="275" t="s">
        <v>63</v>
      </c>
      <c r="D62" s="275">
        <v>6</v>
      </c>
      <c r="E62" s="274" t="s">
        <v>2481</v>
      </c>
      <c r="F62" s="274" t="s">
        <v>555</v>
      </c>
    </row>
    <row r="63" spans="1:6">
      <c r="A63" s="275" t="s">
        <v>552</v>
      </c>
      <c r="B63" s="274" t="s">
        <v>2519</v>
      </c>
      <c r="C63" s="275" t="s">
        <v>63</v>
      </c>
      <c r="D63" s="275">
        <v>6</v>
      </c>
      <c r="E63" s="274" t="s">
        <v>2481</v>
      </c>
      <c r="F63" s="274" t="s">
        <v>555</v>
      </c>
    </row>
    <row r="64" spans="1:6">
      <c r="A64" s="275" t="s">
        <v>599</v>
      </c>
      <c r="B64" s="274" t="s">
        <v>2520</v>
      </c>
      <c r="C64" s="275" t="s">
        <v>63</v>
      </c>
      <c r="D64" s="275">
        <v>6</v>
      </c>
      <c r="E64" s="274" t="s">
        <v>2481</v>
      </c>
      <c r="F64" s="274" t="s">
        <v>555</v>
      </c>
    </row>
    <row r="65" spans="1:6">
      <c r="A65" s="275" t="s">
        <v>604</v>
      </c>
      <c r="B65" s="274" t="s">
        <v>2521</v>
      </c>
      <c r="C65" s="275" t="s">
        <v>63</v>
      </c>
      <c r="D65" s="275">
        <v>6</v>
      </c>
      <c r="E65" s="274" t="s">
        <v>2481</v>
      </c>
      <c r="F65" s="274" t="s">
        <v>555</v>
      </c>
    </row>
    <row r="66" spans="1:6">
      <c r="A66" s="275" t="s">
        <v>579</v>
      </c>
      <c r="B66" s="274" t="s">
        <v>2522</v>
      </c>
      <c r="C66" s="275" t="s">
        <v>63</v>
      </c>
      <c r="D66" s="275">
        <v>6</v>
      </c>
      <c r="E66" s="274" t="s">
        <v>2481</v>
      </c>
      <c r="F66" s="274" t="s">
        <v>555</v>
      </c>
    </row>
    <row r="67" spans="1:6">
      <c r="A67" s="275" t="s">
        <v>610</v>
      </c>
      <c r="B67" s="274" t="s">
        <v>2523</v>
      </c>
      <c r="C67" s="275" t="s">
        <v>63</v>
      </c>
      <c r="D67" s="275">
        <v>7</v>
      </c>
      <c r="E67" s="274" t="s">
        <v>2481</v>
      </c>
      <c r="F67" s="274" t="s">
        <v>2524</v>
      </c>
    </row>
    <row r="68" spans="1:6">
      <c r="A68" s="275" t="s">
        <v>1133</v>
      </c>
      <c r="B68" s="274" t="s">
        <v>2525</v>
      </c>
      <c r="C68" s="275" t="s">
        <v>63</v>
      </c>
      <c r="D68" s="275">
        <v>7</v>
      </c>
      <c r="E68" s="274" t="s">
        <v>2481</v>
      </c>
      <c r="F68" s="274" t="s">
        <v>2524</v>
      </c>
    </row>
    <row r="69" spans="1:6">
      <c r="A69" s="275" t="s">
        <v>615</v>
      </c>
      <c r="B69" s="274" t="s">
        <v>2526</v>
      </c>
      <c r="C69" s="275" t="s">
        <v>63</v>
      </c>
      <c r="D69" s="275">
        <v>7</v>
      </c>
      <c r="E69" s="274" t="s">
        <v>2481</v>
      </c>
      <c r="F69" s="274" t="s">
        <v>2524</v>
      </c>
    </row>
    <row r="70" spans="1:6">
      <c r="A70" s="275" t="s">
        <v>595</v>
      </c>
      <c r="B70" s="274" t="s">
        <v>596</v>
      </c>
      <c r="C70" s="275" t="s">
        <v>63</v>
      </c>
      <c r="D70" s="275">
        <v>7</v>
      </c>
      <c r="E70" s="274" t="s">
        <v>2481</v>
      </c>
      <c r="F70" s="274" t="s">
        <v>2524</v>
      </c>
    </row>
    <row r="71" spans="1:6">
      <c r="A71" s="275" t="s">
        <v>585</v>
      </c>
      <c r="B71" s="274" t="s">
        <v>586</v>
      </c>
      <c r="C71" s="275" t="s">
        <v>63</v>
      </c>
      <c r="D71" s="275">
        <v>7</v>
      </c>
      <c r="E71" s="274" t="s">
        <v>2481</v>
      </c>
      <c r="F71" s="274" t="s">
        <v>2524</v>
      </c>
    </row>
    <row r="72" spans="1:6">
      <c r="A72" s="275" t="s">
        <v>562</v>
      </c>
      <c r="B72" s="274" t="s">
        <v>2527</v>
      </c>
      <c r="C72" s="275" t="s">
        <v>63</v>
      </c>
      <c r="D72" s="275">
        <v>7</v>
      </c>
      <c r="E72" s="274" t="s">
        <v>2481</v>
      </c>
      <c r="F72" s="274" t="s">
        <v>2524</v>
      </c>
    </row>
    <row r="73" spans="1:6">
      <c r="A73" s="275" t="s">
        <v>567</v>
      </c>
      <c r="B73" s="274" t="s">
        <v>2528</v>
      </c>
      <c r="C73" s="275" t="s">
        <v>63</v>
      </c>
      <c r="D73" s="275">
        <v>7</v>
      </c>
      <c r="E73" s="274" t="s">
        <v>2481</v>
      </c>
      <c r="F73" s="274" t="s">
        <v>2524</v>
      </c>
    </row>
    <row r="74" spans="1:6">
      <c r="A74" s="275" t="s">
        <v>621</v>
      </c>
      <c r="B74" s="274" t="s">
        <v>2529</v>
      </c>
      <c r="C74" s="275" t="s">
        <v>63</v>
      </c>
      <c r="D74" s="275">
        <v>7</v>
      </c>
      <c r="E74" s="274" t="s">
        <v>2481</v>
      </c>
      <c r="F74" s="274" t="s">
        <v>2524</v>
      </c>
    </row>
    <row r="75" spans="1:6">
      <c r="A75" s="275" t="s">
        <v>1060</v>
      </c>
      <c r="B75" s="274" t="s">
        <v>1063</v>
      </c>
      <c r="C75" s="275" t="s">
        <v>63</v>
      </c>
      <c r="D75" s="275">
        <v>7</v>
      </c>
      <c r="E75" s="274" t="s">
        <v>2481</v>
      </c>
      <c r="F75" s="274" t="s">
        <v>2524</v>
      </c>
    </row>
    <row r="76" spans="1:6">
      <c r="A76" s="275" t="s">
        <v>1018</v>
      </c>
      <c r="B76" s="274" t="s">
        <v>2530</v>
      </c>
      <c r="C76" s="275" t="s">
        <v>63</v>
      </c>
      <c r="D76" s="275">
        <v>7</v>
      </c>
      <c r="E76" s="274" t="s">
        <v>2481</v>
      </c>
      <c r="F76" s="274" t="s">
        <v>2524</v>
      </c>
    </row>
    <row r="77" spans="1:6">
      <c r="A77" s="275" t="s">
        <v>1046</v>
      </c>
      <c r="B77" s="274" t="s">
        <v>2531</v>
      </c>
      <c r="C77" s="275" t="s">
        <v>63</v>
      </c>
      <c r="D77" s="275">
        <v>7</v>
      </c>
      <c r="E77" s="274" t="s">
        <v>2481</v>
      </c>
      <c r="F77" s="274" t="s">
        <v>2524</v>
      </c>
    </row>
    <row r="78" spans="1:6">
      <c r="A78" s="275" t="s">
        <v>1052</v>
      </c>
      <c r="B78" s="274" t="s">
        <v>1053</v>
      </c>
      <c r="C78" s="275" t="s">
        <v>63</v>
      </c>
      <c r="D78" s="275">
        <v>7</v>
      </c>
      <c r="E78" s="274" t="s">
        <v>2481</v>
      </c>
      <c r="F78" s="274" t="s">
        <v>2524</v>
      </c>
    </row>
    <row r="79" spans="1:6">
      <c r="A79" s="275" t="s">
        <v>539</v>
      </c>
      <c r="B79" s="274" t="s">
        <v>540</v>
      </c>
      <c r="C79" s="275" t="s">
        <v>63</v>
      </c>
      <c r="D79" s="275">
        <v>7</v>
      </c>
      <c r="E79" s="274" t="s">
        <v>2481</v>
      </c>
      <c r="F79" s="274" t="s">
        <v>2524</v>
      </c>
    </row>
    <row r="80" spans="1:6">
      <c r="A80" s="275" t="s">
        <v>546</v>
      </c>
      <c r="B80" s="274" t="s">
        <v>547</v>
      </c>
      <c r="C80" s="275" t="s">
        <v>63</v>
      </c>
      <c r="D80" s="275">
        <v>7</v>
      </c>
      <c r="E80" s="274" t="s">
        <v>2481</v>
      </c>
      <c r="F80" s="274" t="s">
        <v>2524</v>
      </c>
    </row>
    <row r="81" spans="1:6">
      <c r="A81" s="275" t="s">
        <v>767</v>
      </c>
      <c r="B81" s="274" t="s">
        <v>768</v>
      </c>
      <c r="C81" s="275" t="s">
        <v>63</v>
      </c>
      <c r="D81" s="275">
        <v>8</v>
      </c>
      <c r="E81" s="274" t="s">
        <v>2481</v>
      </c>
      <c r="F81" s="274" t="s">
        <v>2471</v>
      </c>
    </row>
    <row r="82" spans="1:6">
      <c r="A82" s="275" t="s">
        <v>769</v>
      </c>
      <c r="B82" s="274" t="s">
        <v>770</v>
      </c>
      <c r="C82" s="275" t="s">
        <v>63</v>
      </c>
      <c r="D82" s="275">
        <v>8</v>
      </c>
      <c r="E82" s="274" t="s">
        <v>2481</v>
      </c>
      <c r="F82" s="274" t="s">
        <v>2471</v>
      </c>
    </row>
    <row r="83" spans="1:6">
      <c r="A83" s="275" t="s">
        <v>2414</v>
      </c>
      <c r="B83" s="274" t="s">
        <v>2532</v>
      </c>
      <c r="C83" s="275" t="s">
        <v>64</v>
      </c>
      <c r="D83" s="275">
        <v>2</v>
      </c>
      <c r="E83" s="274" t="s">
        <v>2533</v>
      </c>
      <c r="F83" s="274" t="s">
        <v>2534</v>
      </c>
    </row>
    <row r="84" spans="1:6">
      <c r="A84" s="275" t="s">
        <v>945</v>
      </c>
      <c r="B84" s="274" t="s">
        <v>946</v>
      </c>
      <c r="C84" s="275" t="s">
        <v>65</v>
      </c>
      <c r="D84" s="275">
        <v>2</v>
      </c>
      <c r="E84" s="274" t="s">
        <v>2484</v>
      </c>
      <c r="F84" s="274" t="s">
        <v>2535</v>
      </c>
    </row>
    <row r="85" spans="1:6">
      <c r="A85" s="275" t="s">
        <v>951</v>
      </c>
      <c r="B85" s="274" t="s">
        <v>952</v>
      </c>
      <c r="C85" s="275" t="s">
        <v>65</v>
      </c>
      <c r="D85" s="275">
        <v>2</v>
      </c>
      <c r="E85" s="274" t="s">
        <v>2484</v>
      </c>
      <c r="F85" s="274" t="s">
        <v>2535</v>
      </c>
    </row>
    <row r="86" spans="1:6">
      <c r="A86" s="275" t="s">
        <v>1149</v>
      </c>
      <c r="B86" s="274" t="s">
        <v>2536</v>
      </c>
      <c r="C86" s="275" t="s">
        <v>65</v>
      </c>
      <c r="D86" s="275">
        <v>3</v>
      </c>
      <c r="E86" s="274" t="s">
        <v>2484</v>
      </c>
      <c r="F86" s="274" t="s">
        <v>2485</v>
      </c>
    </row>
    <row r="87" spans="1:6">
      <c r="A87" s="275" t="s">
        <v>943</v>
      </c>
      <c r="B87" s="274" t="s">
        <v>944</v>
      </c>
      <c r="C87" s="275" t="s">
        <v>65</v>
      </c>
      <c r="D87" s="275">
        <v>2</v>
      </c>
      <c r="E87" s="274" t="s">
        <v>2484</v>
      </c>
      <c r="F87" s="274" t="s">
        <v>2535</v>
      </c>
    </row>
    <row r="88" spans="1:6">
      <c r="A88" s="275" t="s">
        <v>954</v>
      </c>
      <c r="B88" s="274" t="s">
        <v>955</v>
      </c>
      <c r="C88" s="275" t="s">
        <v>65</v>
      </c>
      <c r="D88" s="275">
        <v>2</v>
      </c>
      <c r="E88" s="274" t="s">
        <v>2484</v>
      </c>
      <c r="F88" s="274" t="s">
        <v>2535</v>
      </c>
    </row>
    <row r="89" spans="1:6">
      <c r="A89" s="275" t="s">
        <v>959</v>
      </c>
      <c r="B89" s="274" t="s">
        <v>2537</v>
      </c>
      <c r="C89" s="275" t="s">
        <v>65</v>
      </c>
      <c r="D89" s="275">
        <v>2</v>
      </c>
      <c r="E89" s="274" t="s">
        <v>2484</v>
      </c>
      <c r="F89" s="274" t="s">
        <v>2535</v>
      </c>
    </row>
    <row r="90" spans="1:6">
      <c r="A90" s="275" t="s">
        <v>2421</v>
      </c>
      <c r="B90" s="274" t="s">
        <v>2538</v>
      </c>
      <c r="C90" s="275" t="s">
        <v>65</v>
      </c>
      <c r="D90" s="275">
        <v>4</v>
      </c>
      <c r="E90" s="274" t="s">
        <v>2484</v>
      </c>
      <c r="F90" s="274" t="s">
        <v>2539</v>
      </c>
    </row>
    <row r="91" spans="1:6">
      <c r="A91" s="275" t="s">
        <v>2422</v>
      </c>
      <c r="B91" s="274" t="s">
        <v>2540</v>
      </c>
      <c r="C91" s="275" t="s">
        <v>65</v>
      </c>
      <c r="D91" s="275">
        <v>4</v>
      </c>
      <c r="E91" s="274" t="s">
        <v>2484</v>
      </c>
      <c r="F91" s="274" t="s">
        <v>2539</v>
      </c>
    </row>
    <row r="92" spans="1:6">
      <c r="A92" s="275" t="s">
        <v>328</v>
      </c>
      <c r="B92" s="274" t="s">
        <v>329</v>
      </c>
      <c r="C92" s="275" t="s">
        <v>66</v>
      </c>
      <c r="D92" s="275">
        <v>9</v>
      </c>
      <c r="E92" s="274" t="s">
        <v>2541</v>
      </c>
      <c r="F92" s="274" t="s">
        <v>1447</v>
      </c>
    </row>
    <row r="93" spans="1:6">
      <c r="A93" s="275" t="s">
        <v>2423</v>
      </c>
      <c r="B93" s="274" t="s">
        <v>2542</v>
      </c>
      <c r="C93" s="275" t="s">
        <v>66</v>
      </c>
      <c r="D93" s="275">
        <v>1</v>
      </c>
      <c r="E93" s="274" t="s">
        <v>2541</v>
      </c>
      <c r="F93" s="274" t="s">
        <v>2543</v>
      </c>
    </row>
    <row r="94" spans="1:6">
      <c r="A94" s="275" t="s">
        <v>2424</v>
      </c>
      <c r="B94" s="274" t="s">
        <v>2544</v>
      </c>
      <c r="C94" s="275" t="s">
        <v>66</v>
      </c>
      <c r="D94" s="275">
        <v>1</v>
      </c>
      <c r="E94" s="274" t="s">
        <v>2541</v>
      </c>
      <c r="F94" s="274" t="s">
        <v>2543</v>
      </c>
    </row>
    <row r="95" spans="1:6">
      <c r="A95" s="275" t="s">
        <v>2425</v>
      </c>
      <c r="B95" s="274" t="s">
        <v>2545</v>
      </c>
      <c r="C95" s="275" t="s">
        <v>66</v>
      </c>
      <c r="D95" s="275">
        <v>1</v>
      </c>
      <c r="E95" s="274" t="s">
        <v>2541</v>
      </c>
      <c r="F95" s="274" t="s">
        <v>2543</v>
      </c>
    </row>
    <row r="96" spans="1:6">
      <c r="A96" s="275" t="s">
        <v>1891</v>
      </c>
      <c r="B96" s="274" t="s">
        <v>2546</v>
      </c>
      <c r="C96" s="275" t="s">
        <v>66</v>
      </c>
      <c r="D96" s="275">
        <v>1</v>
      </c>
      <c r="E96" s="274" t="s">
        <v>2541</v>
      </c>
      <c r="F96" s="274" t="s">
        <v>2543</v>
      </c>
    </row>
    <row r="97" spans="1:6">
      <c r="A97" s="275" t="s">
        <v>2426</v>
      </c>
      <c r="B97" s="274" t="s">
        <v>2547</v>
      </c>
      <c r="C97" s="275" t="s">
        <v>66</v>
      </c>
      <c r="D97" s="275">
        <v>2</v>
      </c>
      <c r="E97" s="274" t="s">
        <v>2541</v>
      </c>
      <c r="F97" s="274" t="s">
        <v>2548</v>
      </c>
    </row>
    <row r="98" spans="1:6">
      <c r="A98" s="275" t="s">
        <v>2427</v>
      </c>
      <c r="B98" s="274" t="s">
        <v>2549</v>
      </c>
      <c r="C98" s="275" t="s">
        <v>66</v>
      </c>
      <c r="D98" s="275">
        <v>2</v>
      </c>
      <c r="E98" s="274" t="s">
        <v>2541</v>
      </c>
      <c r="F98" s="274" t="s">
        <v>2548</v>
      </c>
    </row>
    <row r="99" spans="1:6">
      <c r="A99" s="275" t="s">
        <v>2428</v>
      </c>
      <c r="B99" s="274" t="s">
        <v>2550</v>
      </c>
      <c r="C99" s="275" t="s">
        <v>66</v>
      </c>
      <c r="D99" s="275">
        <v>2</v>
      </c>
      <c r="E99" s="274" t="s">
        <v>2541</v>
      </c>
      <c r="F99" s="274" t="s">
        <v>2548</v>
      </c>
    </row>
    <row r="100" spans="1:6">
      <c r="A100" s="275" t="s">
        <v>2429</v>
      </c>
      <c r="B100" s="274" t="s">
        <v>2551</v>
      </c>
      <c r="C100" s="275" t="s">
        <v>66</v>
      </c>
      <c r="D100" s="275">
        <v>2</v>
      </c>
      <c r="E100" s="274" t="s">
        <v>2541</v>
      </c>
      <c r="F100" s="274" t="s">
        <v>2548</v>
      </c>
    </row>
    <row r="101" spans="1:6">
      <c r="A101" s="275" t="s">
        <v>2430</v>
      </c>
      <c r="B101" s="274" t="s">
        <v>2552</v>
      </c>
      <c r="C101" s="275" t="s">
        <v>66</v>
      </c>
      <c r="D101" s="275">
        <v>2</v>
      </c>
      <c r="E101" s="274" t="s">
        <v>2541</v>
      </c>
      <c r="F101" s="274" t="s">
        <v>2548</v>
      </c>
    </row>
    <row r="102" spans="1:6">
      <c r="A102" s="275" t="s">
        <v>2431</v>
      </c>
      <c r="B102" s="274" t="s">
        <v>2553</v>
      </c>
      <c r="C102" s="275" t="s">
        <v>66</v>
      </c>
      <c r="D102" s="275">
        <v>2</v>
      </c>
      <c r="E102" s="274" t="s">
        <v>2541</v>
      </c>
      <c r="F102" s="274" t="s">
        <v>2548</v>
      </c>
    </row>
    <row r="103" spans="1:6">
      <c r="A103" s="275" t="s">
        <v>2432</v>
      </c>
      <c r="B103" s="274" t="s">
        <v>2554</v>
      </c>
      <c r="C103" s="275" t="s">
        <v>66</v>
      </c>
      <c r="D103" s="275">
        <v>2</v>
      </c>
      <c r="E103" s="274" t="s">
        <v>2541</v>
      </c>
      <c r="F103" s="274" t="s">
        <v>2548</v>
      </c>
    </row>
    <row r="104" spans="1:6">
      <c r="A104" s="275" t="s">
        <v>2433</v>
      </c>
      <c r="B104" s="274" t="s">
        <v>2555</v>
      </c>
      <c r="C104" s="275" t="s">
        <v>66</v>
      </c>
      <c r="D104" s="275">
        <v>2</v>
      </c>
      <c r="E104" s="274" t="s">
        <v>2541</v>
      </c>
      <c r="F104" s="274" t="s">
        <v>2548</v>
      </c>
    </row>
    <row r="105" spans="1:6">
      <c r="A105" s="275" t="s">
        <v>2434</v>
      </c>
      <c r="B105" s="274" t="s">
        <v>2556</v>
      </c>
      <c r="C105" s="275" t="s">
        <v>66</v>
      </c>
      <c r="D105" s="275">
        <v>2</v>
      </c>
      <c r="E105" s="274" t="s">
        <v>2541</v>
      </c>
      <c r="F105" s="274" t="s">
        <v>2548</v>
      </c>
    </row>
    <row r="106" spans="1:6">
      <c r="A106" s="275" t="s">
        <v>2451</v>
      </c>
      <c r="B106" s="274" t="s">
        <v>2557</v>
      </c>
      <c r="C106" s="275" t="s">
        <v>66</v>
      </c>
      <c r="D106" s="275">
        <v>3</v>
      </c>
      <c r="E106" s="274" t="s">
        <v>2541</v>
      </c>
      <c r="F106" s="274" t="s">
        <v>2558</v>
      </c>
    </row>
    <row r="107" spans="1:6">
      <c r="A107" s="275" t="s">
        <v>2452</v>
      </c>
      <c r="B107" s="274" t="s">
        <v>2559</v>
      </c>
      <c r="C107" s="275" t="s">
        <v>66</v>
      </c>
      <c r="D107" s="275">
        <v>3</v>
      </c>
      <c r="E107" s="274" t="s">
        <v>2541</v>
      </c>
      <c r="F107" s="274" t="s">
        <v>2558</v>
      </c>
    </row>
    <row r="108" spans="1:6">
      <c r="A108" s="275" t="s">
        <v>2453</v>
      </c>
      <c r="B108" s="274" t="s">
        <v>2560</v>
      </c>
      <c r="C108" s="275" t="s">
        <v>66</v>
      </c>
      <c r="D108" s="275">
        <v>3</v>
      </c>
      <c r="E108" s="274" t="s">
        <v>2541</v>
      </c>
      <c r="F108" s="274" t="s">
        <v>2558</v>
      </c>
    </row>
    <row r="109" spans="1:6">
      <c r="A109" s="275" t="s">
        <v>2454</v>
      </c>
      <c r="B109" s="274" t="s">
        <v>2561</v>
      </c>
      <c r="C109" s="275" t="s">
        <v>66</v>
      </c>
      <c r="D109" s="275">
        <v>3</v>
      </c>
      <c r="E109" s="274" t="s">
        <v>2541</v>
      </c>
      <c r="F109" s="274" t="s">
        <v>2558</v>
      </c>
    </row>
    <row r="110" spans="1:6">
      <c r="A110" s="275" t="s">
        <v>2455</v>
      </c>
      <c r="B110" s="274" t="s">
        <v>2562</v>
      </c>
      <c r="C110" s="275" t="s">
        <v>66</v>
      </c>
      <c r="D110" s="275">
        <v>3</v>
      </c>
      <c r="E110" s="274" t="s">
        <v>2541</v>
      </c>
      <c r="F110" s="274" t="s">
        <v>2558</v>
      </c>
    </row>
    <row r="111" spans="1:6">
      <c r="A111" s="275" t="s">
        <v>2456</v>
      </c>
      <c r="B111" s="274" t="s">
        <v>2563</v>
      </c>
      <c r="C111" s="275" t="s">
        <v>66</v>
      </c>
      <c r="D111" s="275">
        <v>3</v>
      </c>
      <c r="E111" s="274" t="s">
        <v>2541</v>
      </c>
      <c r="F111" s="274" t="s">
        <v>2558</v>
      </c>
    </row>
    <row r="112" spans="1:6">
      <c r="A112" s="275" t="s">
        <v>2437</v>
      </c>
      <c r="B112" s="274" t="s">
        <v>2564</v>
      </c>
      <c r="C112" s="275" t="s">
        <v>66</v>
      </c>
      <c r="D112" s="275">
        <v>2</v>
      </c>
      <c r="E112" s="274" t="s">
        <v>2541</v>
      </c>
      <c r="F112" s="274" t="s">
        <v>2548</v>
      </c>
    </row>
    <row r="113" spans="1:6">
      <c r="A113" s="275" t="s">
        <v>2416</v>
      </c>
      <c r="B113" s="274" t="s">
        <v>2565</v>
      </c>
      <c r="C113" s="275" t="s">
        <v>64</v>
      </c>
      <c r="D113" s="275">
        <v>2</v>
      </c>
      <c r="E113" s="274" t="s">
        <v>2533</v>
      </c>
      <c r="F113" s="274" t="s">
        <v>2534</v>
      </c>
    </row>
    <row r="114" spans="1:6">
      <c r="A114" s="275" t="s">
        <v>258</v>
      </c>
      <c r="B114" s="274" t="s">
        <v>259</v>
      </c>
      <c r="C114" s="275" t="s">
        <v>56</v>
      </c>
      <c r="D114" s="275">
        <v>2</v>
      </c>
      <c r="E114" s="274" t="s">
        <v>2486</v>
      </c>
      <c r="F114" s="274" t="s">
        <v>2566</v>
      </c>
    </row>
    <row r="115" spans="1:6">
      <c r="A115" s="275" t="s">
        <v>2435</v>
      </c>
      <c r="B115" s="274" t="s">
        <v>2567</v>
      </c>
      <c r="C115" s="275" t="s">
        <v>66</v>
      </c>
      <c r="D115" s="275">
        <v>2</v>
      </c>
      <c r="E115" s="274" t="s">
        <v>2541</v>
      </c>
      <c r="F115" s="274" t="s">
        <v>2548</v>
      </c>
    </row>
    <row r="116" spans="1:6">
      <c r="A116" s="275" t="s">
        <v>1068</v>
      </c>
      <c r="B116" s="274" t="s">
        <v>1069</v>
      </c>
      <c r="C116" s="275" t="s">
        <v>63</v>
      </c>
      <c r="D116" s="275">
        <v>5</v>
      </c>
      <c r="E116" s="274" t="s">
        <v>2481</v>
      </c>
      <c r="F116" s="274" t="s">
        <v>2482</v>
      </c>
    </row>
    <row r="117" spans="1:6">
      <c r="A117" s="275" t="s">
        <v>2436</v>
      </c>
      <c r="B117" s="274" t="s">
        <v>2568</v>
      </c>
      <c r="C117" s="275" t="s">
        <v>66</v>
      </c>
      <c r="D117" s="275">
        <v>2</v>
      </c>
      <c r="E117" s="274" t="s">
        <v>2541</v>
      </c>
      <c r="F117" s="274" t="s">
        <v>2548</v>
      </c>
    </row>
    <row r="118" spans="1:6">
      <c r="A118" s="275" t="s">
        <v>2440</v>
      </c>
      <c r="B118" s="274" t="s">
        <v>2569</v>
      </c>
      <c r="C118" s="275" t="s">
        <v>66</v>
      </c>
      <c r="D118" s="275">
        <v>2</v>
      </c>
      <c r="E118" s="274" t="s">
        <v>2541</v>
      </c>
      <c r="F118" s="274" t="s">
        <v>2548</v>
      </c>
    </row>
    <row r="119" spans="1:6">
      <c r="A119" s="275" t="s">
        <v>2439</v>
      </c>
      <c r="B119" s="274" t="s">
        <v>2570</v>
      </c>
      <c r="C119" s="275" t="s">
        <v>66</v>
      </c>
      <c r="D119" s="275">
        <v>2</v>
      </c>
      <c r="E119" s="274" t="s">
        <v>2541</v>
      </c>
      <c r="F119" s="274" t="s">
        <v>2548</v>
      </c>
    </row>
    <row r="120" spans="1:6">
      <c r="A120" s="275" t="s">
        <v>2438</v>
      </c>
      <c r="B120" s="274" t="s">
        <v>2571</v>
      </c>
      <c r="C120" s="275" t="s">
        <v>66</v>
      </c>
      <c r="D120" s="275">
        <v>2</v>
      </c>
      <c r="E120" s="274" t="s">
        <v>2541</v>
      </c>
      <c r="F120" s="274" t="s">
        <v>2548</v>
      </c>
    </row>
    <row r="121" spans="1:6">
      <c r="A121" s="275" t="s">
        <v>1119</v>
      </c>
      <c r="B121" s="274" t="s">
        <v>2572</v>
      </c>
      <c r="C121" s="275" t="s">
        <v>63</v>
      </c>
      <c r="D121" s="275">
        <v>4</v>
      </c>
      <c r="E121" s="274" t="s">
        <v>2481</v>
      </c>
      <c r="F121" s="274" t="s">
        <v>2573</v>
      </c>
    </row>
    <row r="122" spans="1:6">
      <c r="A122" s="275" t="s">
        <v>1138</v>
      </c>
      <c r="B122" s="274" t="s">
        <v>2574</v>
      </c>
      <c r="C122" s="275" t="s">
        <v>63</v>
      </c>
      <c r="D122" s="275">
        <v>4</v>
      </c>
      <c r="E122" s="274" t="s">
        <v>2481</v>
      </c>
      <c r="F122" s="274" t="s">
        <v>2573</v>
      </c>
    </row>
    <row r="123" spans="1:6">
      <c r="A123" s="275" t="s">
        <v>1127</v>
      </c>
      <c r="B123" s="274" t="s">
        <v>2575</v>
      </c>
      <c r="C123" s="275" t="s">
        <v>63</v>
      </c>
      <c r="D123" s="275">
        <v>4</v>
      </c>
      <c r="E123" s="274" t="s">
        <v>2481</v>
      </c>
      <c r="F123" s="274" t="s">
        <v>2573</v>
      </c>
    </row>
    <row r="124" spans="1:6">
      <c r="A124" s="275" t="s">
        <v>638</v>
      </c>
      <c r="B124" s="274" t="s">
        <v>639</v>
      </c>
      <c r="C124" s="275" t="s">
        <v>59</v>
      </c>
      <c r="D124" s="275">
        <v>5</v>
      </c>
      <c r="E124" s="274" t="s">
        <v>2461</v>
      </c>
      <c r="F124" s="274" t="s">
        <v>2467</v>
      </c>
    </row>
    <row r="125" spans="1:6">
      <c r="A125" s="275" t="s">
        <v>648</v>
      </c>
      <c r="B125" s="274" t="s">
        <v>2576</v>
      </c>
      <c r="C125" s="275" t="s">
        <v>59</v>
      </c>
      <c r="D125" s="275">
        <v>5</v>
      </c>
      <c r="E125" s="274" t="s">
        <v>2461</v>
      </c>
      <c r="F125" s="274" t="s">
        <v>2467</v>
      </c>
    </row>
    <row r="126" spans="1:6">
      <c r="A126" s="275" t="s">
        <v>1095</v>
      </c>
      <c r="B126" s="274" t="s">
        <v>1096</v>
      </c>
      <c r="C126" s="275" t="s">
        <v>61</v>
      </c>
      <c r="D126" s="275">
        <v>3</v>
      </c>
      <c r="E126" s="274" t="s">
        <v>2474</v>
      </c>
      <c r="F126" s="274" t="s">
        <v>2489</v>
      </c>
    </row>
    <row r="127" spans="1:6">
      <c r="A127" s="275" t="s">
        <v>1379</v>
      </c>
      <c r="B127" s="274" t="s">
        <v>1380</v>
      </c>
      <c r="C127" s="275" t="s">
        <v>65</v>
      </c>
      <c r="D127" s="275">
        <v>5</v>
      </c>
      <c r="E127" s="274" t="s">
        <v>2484</v>
      </c>
      <c r="F127" s="274" t="s">
        <v>2577</v>
      </c>
    </row>
    <row r="128" spans="1:6">
      <c r="A128" s="275" t="s">
        <v>1381</v>
      </c>
      <c r="B128" s="274" t="s">
        <v>2578</v>
      </c>
      <c r="C128" s="275" t="s">
        <v>65</v>
      </c>
      <c r="D128" s="275">
        <v>5</v>
      </c>
      <c r="E128" s="274" t="s">
        <v>2484</v>
      </c>
      <c r="F128" s="274" t="s">
        <v>2577</v>
      </c>
    </row>
    <row r="129" spans="1:6">
      <c r="A129" s="275" t="s">
        <v>949</v>
      </c>
      <c r="B129" s="274" t="s">
        <v>950</v>
      </c>
      <c r="C129" s="275" t="s">
        <v>65</v>
      </c>
      <c r="D129" s="275">
        <v>2</v>
      </c>
      <c r="E129" s="274" t="s">
        <v>2484</v>
      </c>
      <c r="F129" s="274" t="s">
        <v>2535</v>
      </c>
    </row>
    <row r="130" spans="1:6">
      <c r="A130" s="275" t="s">
        <v>2442</v>
      </c>
      <c r="B130" s="274" t="s">
        <v>2579</v>
      </c>
      <c r="C130" s="275" t="s">
        <v>66</v>
      </c>
      <c r="D130" s="275">
        <v>2</v>
      </c>
      <c r="E130" s="274" t="s">
        <v>2541</v>
      </c>
      <c r="F130" s="274" t="s">
        <v>2548</v>
      </c>
    </row>
    <row r="131" spans="1:6">
      <c r="A131" s="275" t="s">
        <v>1064</v>
      </c>
      <c r="B131" s="274" t="s">
        <v>1065</v>
      </c>
      <c r="C131" s="275" t="s">
        <v>63</v>
      </c>
      <c r="D131" s="275">
        <v>7</v>
      </c>
      <c r="E131" s="274" t="s">
        <v>2481</v>
      </c>
      <c r="F131" s="274" t="s">
        <v>2524</v>
      </c>
    </row>
    <row r="132" spans="1:6">
      <c r="A132" s="275" t="s">
        <v>294</v>
      </c>
      <c r="B132" s="274" t="s">
        <v>295</v>
      </c>
      <c r="C132" s="275" t="s">
        <v>56</v>
      </c>
      <c r="D132" s="275">
        <v>4</v>
      </c>
      <c r="E132" s="274" t="s">
        <v>2486</v>
      </c>
      <c r="F132" s="274" t="s">
        <v>2580</v>
      </c>
    </row>
    <row r="133" spans="1:6">
      <c r="A133" s="275" t="s">
        <v>2450</v>
      </c>
      <c r="B133" s="274" t="s">
        <v>2581</v>
      </c>
      <c r="C133" s="275" t="s">
        <v>66</v>
      </c>
      <c r="D133" s="275">
        <v>2</v>
      </c>
      <c r="E133" s="274" t="s">
        <v>2541</v>
      </c>
      <c r="F133" s="274" t="s">
        <v>2548</v>
      </c>
    </row>
    <row r="134" spans="1:6">
      <c r="A134" s="275" t="s">
        <v>2447</v>
      </c>
      <c r="B134" s="274" t="s">
        <v>2582</v>
      </c>
      <c r="C134" s="275" t="s">
        <v>66</v>
      </c>
      <c r="D134" s="275">
        <v>2</v>
      </c>
      <c r="E134" s="274" t="s">
        <v>2541</v>
      </c>
      <c r="F134" s="274" t="s">
        <v>2548</v>
      </c>
    </row>
    <row r="135" spans="1:6">
      <c r="A135" s="275" t="s">
        <v>2443</v>
      </c>
      <c r="B135" s="274" t="s">
        <v>2583</v>
      </c>
      <c r="C135" s="275" t="s">
        <v>66</v>
      </c>
      <c r="D135" s="275">
        <v>2</v>
      </c>
      <c r="E135" s="274" t="s">
        <v>2541</v>
      </c>
      <c r="F135" s="274" t="s">
        <v>2548</v>
      </c>
    </row>
    <row r="136" spans="1:6">
      <c r="A136" s="275" t="s">
        <v>2449</v>
      </c>
      <c r="B136" s="274" t="s">
        <v>2584</v>
      </c>
      <c r="C136" s="275" t="s">
        <v>66</v>
      </c>
      <c r="D136" s="275">
        <v>2</v>
      </c>
      <c r="E136" s="274" t="s">
        <v>2541</v>
      </c>
      <c r="F136" s="274" t="s">
        <v>2548</v>
      </c>
    </row>
    <row r="137" spans="1:6">
      <c r="A137" s="275" t="s">
        <v>2448</v>
      </c>
      <c r="B137" s="274" t="s">
        <v>2585</v>
      </c>
      <c r="C137" s="275" t="s">
        <v>66</v>
      </c>
      <c r="D137" s="275">
        <v>2</v>
      </c>
      <c r="E137" s="274" t="s">
        <v>2541</v>
      </c>
      <c r="F137" s="274" t="s">
        <v>2548</v>
      </c>
    </row>
    <row r="138" spans="1:6">
      <c r="A138" s="275" t="s">
        <v>1303</v>
      </c>
      <c r="B138" s="274" t="s">
        <v>1304</v>
      </c>
      <c r="C138" s="275" t="s">
        <v>65</v>
      </c>
      <c r="D138" s="275">
        <v>3</v>
      </c>
      <c r="E138" s="274" t="s">
        <v>2484</v>
      </c>
      <c r="F138" s="274" t="s">
        <v>2485</v>
      </c>
    </row>
    <row r="139" spans="1:6">
      <c r="A139" s="275" t="s">
        <v>500</v>
      </c>
      <c r="B139" s="274" t="s">
        <v>2586</v>
      </c>
      <c r="C139" s="275" t="s">
        <v>61</v>
      </c>
      <c r="D139" s="275">
        <v>5</v>
      </c>
      <c r="E139" s="274" t="s">
        <v>2474</v>
      </c>
      <c r="F139" s="274" t="s">
        <v>2497</v>
      </c>
    </row>
    <row r="140" spans="1:6">
      <c r="A140" s="275" t="s">
        <v>1305</v>
      </c>
      <c r="B140" s="274" t="s">
        <v>1306</v>
      </c>
      <c r="C140" s="275" t="s">
        <v>65</v>
      </c>
      <c r="D140" s="275">
        <v>3</v>
      </c>
      <c r="E140" s="274" t="s">
        <v>2484</v>
      </c>
      <c r="F140" s="274" t="s">
        <v>2485</v>
      </c>
    </row>
    <row r="141" spans="1:6">
      <c r="A141" s="275" t="s">
        <v>1307</v>
      </c>
      <c r="B141" s="274" t="s">
        <v>1308</v>
      </c>
      <c r="C141" s="275" t="s">
        <v>65</v>
      </c>
      <c r="D141" s="275">
        <v>3</v>
      </c>
      <c r="E141" s="274" t="s">
        <v>2484</v>
      </c>
      <c r="F141" s="274" t="s">
        <v>2485</v>
      </c>
    </row>
    <row r="142" spans="1:6">
      <c r="A142" s="275" t="s">
        <v>1309</v>
      </c>
      <c r="B142" s="274" t="s">
        <v>1310</v>
      </c>
      <c r="C142" s="275" t="s">
        <v>65</v>
      </c>
      <c r="D142" s="275">
        <v>3</v>
      </c>
      <c r="E142" s="274" t="s">
        <v>2484</v>
      </c>
      <c r="F142" s="274" t="s">
        <v>2485</v>
      </c>
    </row>
    <row r="143" spans="1:6">
      <c r="A143" s="275" t="s">
        <v>1311</v>
      </c>
      <c r="B143" s="274" t="s">
        <v>1312</v>
      </c>
      <c r="C143" s="275" t="s">
        <v>65</v>
      </c>
      <c r="D143" s="275">
        <v>3</v>
      </c>
      <c r="E143" s="274" t="s">
        <v>2484</v>
      </c>
      <c r="F143" s="274" t="s">
        <v>2485</v>
      </c>
    </row>
    <row r="144" spans="1:6">
      <c r="A144" s="275" t="s">
        <v>1111</v>
      </c>
      <c r="B144" s="274" t="s">
        <v>1112</v>
      </c>
      <c r="C144" s="275" t="s">
        <v>61</v>
      </c>
      <c r="D144" s="275">
        <v>3</v>
      </c>
      <c r="E144" s="274" t="s">
        <v>2474</v>
      </c>
      <c r="F144" s="274" t="s">
        <v>2489</v>
      </c>
    </row>
    <row r="145" spans="1:6">
      <c r="A145" s="275" t="s">
        <v>920</v>
      </c>
      <c r="B145" s="274" t="s">
        <v>2587</v>
      </c>
      <c r="C145" s="275" t="s">
        <v>61</v>
      </c>
      <c r="D145" s="275">
        <v>4</v>
      </c>
      <c r="E145" s="274" t="s">
        <v>2474</v>
      </c>
      <c r="F145" s="274" t="s">
        <v>2495</v>
      </c>
    </row>
    <row r="146" spans="1:6">
      <c r="A146" s="275" t="s">
        <v>1113</v>
      </c>
      <c r="B146" s="274" t="s">
        <v>2588</v>
      </c>
      <c r="C146" s="275" t="s">
        <v>61</v>
      </c>
      <c r="D146" s="275">
        <v>2</v>
      </c>
      <c r="E146" s="274" t="s">
        <v>2474</v>
      </c>
      <c r="F146" s="274" t="s">
        <v>2478</v>
      </c>
    </row>
    <row r="147" spans="1:6">
      <c r="A147" s="275" t="s">
        <v>1426</v>
      </c>
      <c r="B147" s="274" t="s">
        <v>2589</v>
      </c>
      <c r="C147" s="275" t="s">
        <v>61</v>
      </c>
      <c r="D147" s="275">
        <v>2</v>
      </c>
      <c r="E147" s="274" t="s">
        <v>2474</v>
      </c>
      <c r="F147" s="274" t="s">
        <v>2478</v>
      </c>
    </row>
    <row r="148" spans="1:6">
      <c r="A148" s="275" t="s">
        <v>1115</v>
      </c>
      <c r="B148" s="274" t="s">
        <v>2590</v>
      </c>
      <c r="C148" s="275" t="s">
        <v>61</v>
      </c>
      <c r="D148" s="275">
        <v>2</v>
      </c>
      <c r="E148" s="274" t="s">
        <v>2474</v>
      </c>
      <c r="F148" s="274" t="s">
        <v>2478</v>
      </c>
    </row>
    <row r="149" spans="1:6">
      <c r="A149" s="275" t="s">
        <v>1429</v>
      </c>
      <c r="B149" s="274" t="s">
        <v>2591</v>
      </c>
      <c r="C149" s="275" t="s">
        <v>61</v>
      </c>
      <c r="D149" s="275">
        <v>2</v>
      </c>
      <c r="E149" s="274" t="s">
        <v>2474</v>
      </c>
      <c r="F149" s="274" t="s">
        <v>2478</v>
      </c>
    </row>
    <row r="150" spans="1:6">
      <c r="A150" s="275" t="s">
        <v>1117</v>
      </c>
      <c r="B150" s="274" t="s">
        <v>2592</v>
      </c>
      <c r="C150" s="275" t="s">
        <v>61</v>
      </c>
      <c r="D150" s="275">
        <v>2</v>
      </c>
      <c r="E150" s="274" t="s">
        <v>2474</v>
      </c>
      <c r="F150" s="274" t="s">
        <v>2478</v>
      </c>
    </row>
    <row r="151" spans="1:6">
      <c r="A151" s="275" t="s">
        <v>725</v>
      </c>
      <c r="B151" s="274" t="s">
        <v>726</v>
      </c>
      <c r="C151" s="275" t="s">
        <v>57</v>
      </c>
      <c r="D151" s="275">
        <v>5</v>
      </c>
      <c r="E151" s="274" t="s">
        <v>2593</v>
      </c>
      <c r="F151" s="274" t="s">
        <v>2594</v>
      </c>
    </row>
    <row r="152" spans="1:6">
      <c r="A152" s="275" t="s">
        <v>867</v>
      </c>
      <c r="B152" s="274" t="s">
        <v>868</v>
      </c>
      <c r="C152" s="275" t="s">
        <v>56</v>
      </c>
      <c r="D152" s="275">
        <v>2</v>
      </c>
      <c r="E152" s="274" t="s">
        <v>2486</v>
      </c>
      <c r="F152" s="274" t="s">
        <v>2566</v>
      </c>
    </row>
    <row r="153" spans="1:6">
      <c r="A153" s="275" t="s">
        <v>1006</v>
      </c>
      <c r="B153" s="274" t="s">
        <v>1007</v>
      </c>
      <c r="C153" s="275" t="s">
        <v>61</v>
      </c>
      <c r="D153" s="275">
        <v>1</v>
      </c>
      <c r="E153" s="274" t="s">
        <v>2474</v>
      </c>
      <c r="F153" s="274" t="s">
        <v>2475</v>
      </c>
    </row>
    <row r="154" spans="1:6">
      <c r="A154" s="275" t="s">
        <v>965</v>
      </c>
      <c r="B154" s="274" t="s">
        <v>966</v>
      </c>
      <c r="C154" s="275" t="s">
        <v>61</v>
      </c>
      <c r="D154" s="275">
        <v>1</v>
      </c>
      <c r="E154" s="274" t="s">
        <v>2474</v>
      </c>
      <c r="F154" s="274" t="s">
        <v>2475</v>
      </c>
    </row>
    <row r="155" spans="1:6">
      <c r="A155" s="275" t="s">
        <v>1070</v>
      </c>
      <c r="B155" s="274" t="s">
        <v>1071</v>
      </c>
      <c r="C155" s="275" t="s">
        <v>63</v>
      </c>
      <c r="D155" s="275">
        <v>5</v>
      </c>
      <c r="E155" s="274" t="s">
        <v>2481</v>
      </c>
      <c r="F155" s="274" t="s">
        <v>2482</v>
      </c>
    </row>
    <row r="156" spans="1:6">
      <c r="A156" s="275" t="s">
        <v>375</v>
      </c>
      <c r="B156" s="274" t="s">
        <v>376</v>
      </c>
      <c r="C156" s="275" t="s">
        <v>59</v>
      </c>
      <c r="D156" s="275">
        <v>1</v>
      </c>
      <c r="E156" s="274" t="s">
        <v>2461</v>
      </c>
      <c r="F156" s="274" t="s">
        <v>376</v>
      </c>
    </row>
    <row r="157" spans="1:6">
      <c r="A157" s="275" t="s">
        <v>377</v>
      </c>
      <c r="B157" s="274" t="s">
        <v>378</v>
      </c>
      <c r="C157" s="275" t="s">
        <v>59</v>
      </c>
      <c r="D157" s="275">
        <v>1</v>
      </c>
      <c r="E157" s="274" t="s">
        <v>2461</v>
      </c>
      <c r="F157" s="274" t="s">
        <v>376</v>
      </c>
    </row>
    <row r="158" spans="1:6">
      <c r="A158" s="275" t="s">
        <v>379</v>
      </c>
      <c r="B158" s="274" t="s">
        <v>2595</v>
      </c>
      <c r="C158" s="275" t="s">
        <v>59</v>
      </c>
      <c r="D158" s="275">
        <v>1</v>
      </c>
      <c r="E158" s="274" t="s">
        <v>2461</v>
      </c>
      <c r="F158" s="274" t="s">
        <v>376</v>
      </c>
    </row>
    <row r="159" spans="1:6">
      <c r="A159" s="275" t="s">
        <v>645</v>
      </c>
      <c r="B159" s="274" t="s">
        <v>2596</v>
      </c>
      <c r="C159" s="275" t="s">
        <v>59</v>
      </c>
      <c r="D159" s="275">
        <v>2</v>
      </c>
      <c r="E159" s="274" t="s">
        <v>2461</v>
      </c>
      <c r="F159" s="274" t="s">
        <v>2597</v>
      </c>
    </row>
    <row r="160" spans="1:6">
      <c r="A160" s="275" t="s">
        <v>654</v>
      </c>
      <c r="B160" s="274" t="s">
        <v>2597</v>
      </c>
      <c r="C160" s="275" t="s">
        <v>59</v>
      </c>
      <c r="D160" s="275">
        <v>2</v>
      </c>
      <c r="E160" s="274" t="s">
        <v>2461</v>
      </c>
      <c r="F160" s="274" t="s">
        <v>2597</v>
      </c>
    </row>
    <row r="161" spans="1:6">
      <c r="A161" s="275" t="s">
        <v>663</v>
      </c>
      <c r="B161" s="274" t="s">
        <v>2598</v>
      </c>
      <c r="C161" s="275" t="s">
        <v>59</v>
      </c>
      <c r="D161" s="275">
        <v>2</v>
      </c>
      <c r="E161" s="274" t="s">
        <v>2461</v>
      </c>
      <c r="F161" s="274" t="s">
        <v>2597</v>
      </c>
    </row>
    <row r="162" spans="1:6">
      <c r="A162" s="275" t="s">
        <v>681</v>
      </c>
      <c r="B162" s="274" t="s">
        <v>2599</v>
      </c>
      <c r="C162" s="275" t="s">
        <v>59</v>
      </c>
      <c r="D162" s="275">
        <v>2</v>
      </c>
      <c r="E162" s="274" t="s">
        <v>2461</v>
      </c>
      <c r="F162" s="274" t="s">
        <v>2597</v>
      </c>
    </row>
    <row r="163" spans="1:6">
      <c r="A163" s="275" t="s">
        <v>830</v>
      </c>
      <c r="B163" s="274" t="s">
        <v>2600</v>
      </c>
      <c r="C163" s="275" t="s">
        <v>59</v>
      </c>
      <c r="D163" s="275">
        <v>3</v>
      </c>
      <c r="E163" s="274" t="s">
        <v>2461</v>
      </c>
      <c r="F163" s="274" t="s">
        <v>2479</v>
      </c>
    </row>
    <row r="164" spans="1:6">
      <c r="A164" s="275" t="s">
        <v>828</v>
      </c>
      <c r="B164" s="274" t="s">
        <v>2601</v>
      </c>
      <c r="C164" s="275" t="s">
        <v>59</v>
      </c>
      <c r="D164" s="275">
        <v>3</v>
      </c>
      <c r="E164" s="274" t="s">
        <v>2461</v>
      </c>
      <c r="F164" s="274" t="s">
        <v>2479</v>
      </c>
    </row>
    <row r="165" spans="1:6">
      <c r="A165" s="275" t="s">
        <v>385</v>
      </c>
      <c r="B165" s="274" t="s">
        <v>2602</v>
      </c>
      <c r="C165" s="275" t="s">
        <v>59</v>
      </c>
      <c r="D165" s="275">
        <v>4</v>
      </c>
      <c r="E165" s="274" t="s">
        <v>2461</v>
      </c>
      <c r="F165" s="274" t="s">
        <v>2603</v>
      </c>
    </row>
    <row r="166" spans="1:6">
      <c r="A166" s="275" t="s">
        <v>389</v>
      </c>
      <c r="B166" s="274" t="s">
        <v>2604</v>
      </c>
      <c r="C166" s="275" t="s">
        <v>59</v>
      </c>
      <c r="D166" s="275">
        <v>4</v>
      </c>
      <c r="E166" s="274" t="s">
        <v>2461</v>
      </c>
      <c r="F166" s="274" t="s">
        <v>2603</v>
      </c>
    </row>
    <row r="167" spans="1:6">
      <c r="A167" s="275" t="s">
        <v>397</v>
      </c>
      <c r="B167" s="274" t="s">
        <v>2605</v>
      </c>
      <c r="C167" s="275" t="s">
        <v>59</v>
      </c>
      <c r="D167" s="275">
        <v>4</v>
      </c>
      <c r="E167" s="274" t="s">
        <v>2461</v>
      </c>
      <c r="F167" s="274" t="s">
        <v>2603</v>
      </c>
    </row>
    <row r="168" spans="1:6">
      <c r="A168" s="275" t="s">
        <v>401</v>
      </c>
      <c r="B168" s="274" t="s">
        <v>2606</v>
      </c>
      <c r="C168" s="275" t="s">
        <v>59</v>
      </c>
      <c r="D168" s="275">
        <v>4</v>
      </c>
      <c r="E168" s="274" t="s">
        <v>2461</v>
      </c>
      <c r="F168" s="274" t="s">
        <v>2603</v>
      </c>
    </row>
    <row r="169" spans="1:6">
      <c r="A169" s="275" t="s">
        <v>391</v>
      </c>
      <c r="B169" s="274" t="s">
        <v>2607</v>
      </c>
      <c r="C169" s="275" t="s">
        <v>59</v>
      </c>
      <c r="D169" s="275">
        <v>4</v>
      </c>
      <c r="E169" s="274" t="s">
        <v>2461</v>
      </c>
      <c r="F169" s="274" t="s">
        <v>2603</v>
      </c>
    </row>
    <row r="170" spans="1:6">
      <c r="A170" s="275" t="s">
        <v>403</v>
      </c>
      <c r="B170" s="274" t="s">
        <v>404</v>
      </c>
      <c r="C170" s="275" t="s">
        <v>59</v>
      </c>
      <c r="D170" s="275">
        <v>4</v>
      </c>
      <c r="E170" s="274" t="s">
        <v>2461</v>
      </c>
      <c r="F170" s="274" t="s">
        <v>2603</v>
      </c>
    </row>
    <row r="171" spans="1:6">
      <c r="A171" s="275" t="s">
        <v>471</v>
      </c>
      <c r="B171" s="274" t="s">
        <v>2608</v>
      </c>
      <c r="C171" s="275" t="s">
        <v>59</v>
      </c>
      <c r="D171" s="275">
        <v>4</v>
      </c>
      <c r="E171" s="274" t="s">
        <v>2461</v>
      </c>
      <c r="F171" s="274" t="s">
        <v>2603</v>
      </c>
    </row>
    <row r="172" spans="1:6">
      <c r="A172" s="275" t="s">
        <v>474</v>
      </c>
      <c r="B172" s="274" t="s">
        <v>2609</v>
      </c>
      <c r="C172" s="275" t="s">
        <v>59</v>
      </c>
      <c r="D172" s="275">
        <v>4</v>
      </c>
      <c r="E172" s="274" t="s">
        <v>2461</v>
      </c>
      <c r="F172" s="274" t="s">
        <v>2603</v>
      </c>
    </row>
    <row r="173" spans="1:6">
      <c r="A173" s="275" t="s">
        <v>479</v>
      </c>
      <c r="B173" s="274" t="s">
        <v>2610</v>
      </c>
      <c r="C173" s="275" t="s">
        <v>59</v>
      </c>
      <c r="D173" s="275">
        <v>4</v>
      </c>
      <c r="E173" s="274" t="s">
        <v>2461</v>
      </c>
      <c r="F173" s="274" t="s">
        <v>2603</v>
      </c>
    </row>
    <row r="174" spans="1:6">
      <c r="A174" s="275" t="s">
        <v>481</v>
      </c>
      <c r="B174" s="274" t="s">
        <v>2611</v>
      </c>
      <c r="C174" s="275" t="s">
        <v>59</v>
      </c>
      <c r="D174" s="275">
        <v>4</v>
      </c>
      <c r="E174" s="274" t="s">
        <v>2461</v>
      </c>
      <c r="F174" s="274" t="s">
        <v>2603</v>
      </c>
    </row>
    <row r="175" spans="1:6">
      <c r="A175" s="275" t="s">
        <v>671</v>
      </c>
      <c r="B175" s="274" t="s">
        <v>2612</v>
      </c>
      <c r="C175" s="275" t="s">
        <v>59</v>
      </c>
      <c r="D175" s="275">
        <v>4</v>
      </c>
      <c r="E175" s="274" t="s">
        <v>2461</v>
      </c>
      <c r="F175" s="274" t="s">
        <v>2603</v>
      </c>
    </row>
    <row r="176" spans="1:6">
      <c r="A176" s="275" t="s">
        <v>445</v>
      </c>
      <c r="B176" s="274" t="s">
        <v>2613</v>
      </c>
      <c r="C176" s="275" t="s">
        <v>59</v>
      </c>
      <c r="D176" s="275">
        <v>6</v>
      </c>
      <c r="E176" s="274" t="s">
        <v>2461</v>
      </c>
      <c r="F176" s="274" t="s">
        <v>2462</v>
      </c>
    </row>
    <row r="177" spans="1:6">
      <c r="A177" s="275" t="s">
        <v>450</v>
      </c>
      <c r="B177" s="274" t="s">
        <v>2614</v>
      </c>
      <c r="C177" s="275" t="s">
        <v>59</v>
      </c>
      <c r="D177" s="275">
        <v>6</v>
      </c>
      <c r="E177" s="274" t="s">
        <v>2461</v>
      </c>
      <c r="F177" s="274" t="s">
        <v>2462</v>
      </c>
    </row>
    <row r="178" spans="1:6">
      <c r="A178" s="275" t="s">
        <v>452</v>
      </c>
      <c r="B178" s="274" t="s">
        <v>2615</v>
      </c>
      <c r="C178" s="275" t="s">
        <v>59</v>
      </c>
      <c r="D178" s="275">
        <v>6</v>
      </c>
      <c r="E178" s="274" t="s">
        <v>2461</v>
      </c>
      <c r="F178" s="274" t="s">
        <v>2462</v>
      </c>
    </row>
    <row r="179" spans="1:6">
      <c r="A179" s="275" t="s">
        <v>456</v>
      </c>
      <c r="B179" s="274" t="s">
        <v>2616</v>
      </c>
      <c r="C179" s="275" t="s">
        <v>59</v>
      </c>
      <c r="D179" s="275">
        <v>6</v>
      </c>
      <c r="E179" s="274" t="s">
        <v>2461</v>
      </c>
      <c r="F179" s="274" t="s">
        <v>2462</v>
      </c>
    </row>
    <row r="180" spans="1:6">
      <c r="A180" s="275" t="s">
        <v>458</v>
      </c>
      <c r="B180" s="274" t="s">
        <v>2617</v>
      </c>
      <c r="C180" s="275" t="s">
        <v>59</v>
      </c>
      <c r="D180" s="275">
        <v>6</v>
      </c>
      <c r="E180" s="274" t="s">
        <v>2461</v>
      </c>
      <c r="F180" s="274" t="s">
        <v>2462</v>
      </c>
    </row>
    <row r="181" spans="1:6">
      <c r="A181" s="275" t="s">
        <v>761</v>
      </c>
      <c r="B181" s="274" t="s">
        <v>2618</v>
      </c>
      <c r="C181" s="275" t="s">
        <v>59</v>
      </c>
      <c r="D181" s="275">
        <v>6</v>
      </c>
      <c r="E181" s="274" t="s">
        <v>2461</v>
      </c>
      <c r="F181" s="274" t="s">
        <v>2462</v>
      </c>
    </row>
    <row r="182" spans="1:6">
      <c r="A182" s="275" t="s">
        <v>763</v>
      </c>
      <c r="B182" s="274" t="s">
        <v>2619</v>
      </c>
      <c r="C182" s="275" t="s">
        <v>59</v>
      </c>
      <c r="D182" s="275">
        <v>6</v>
      </c>
      <c r="E182" s="274" t="s">
        <v>2461</v>
      </c>
      <c r="F182" s="274" t="s">
        <v>2462</v>
      </c>
    </row>
    <row r="183" spans="1:6">
      <c r="A183" s="275" t="s">
        <v>765</v>
      </c>
      <c r="B183" s="274" t="s">
        <v>2620</v>
      </c>
      <c r="C183" s="275" t="s">
        <v>59</v>
      </c>
      <c r="D183" s="275">
        <v>6</v>
      </c>
      <c r="E183" s="274" t="s">
        <v>2461</v>
      </c>
      <c r="F183" s="274" t="s">
        <v>2462</v>
      </c>
    </row>
    <row r="184" spans="1:6">
      <c r="A184" s="275" t="s">
        <v>999</v>
      </c>
      <c r="B184" s="274" t="s">
        <v>1000</v>
      </c>
      <c r="C184" s="275" t="s">
        <v>61</v>
      </c>
      <c r="D184" s="275">
        <v>1</v>
      </c>
      <c r="E184" s="274" t="s">
        <v>2474</v>
      </c>
      <c r="F184" s="274" t="s">
        <v>2475</v>
      </c>
    </row>
    <row r="185" spans="1:6">
      <c r="A185" s="275" t="s">
        <v>918</v>
      </c>
      <c r="B185" s="274" t="s">
        <v>919</v>
      </c>
      <c r="C185" s="275" t="s">
        <v>61</v>
      </c>
      <c r="D185" s="275">
        <v>4</v>
      </c>
      <c r="E185" s="274" t="s">
        <v>2474</v>
      </c>
      <c r="F185" s="274" t="s">
        <v>2495</v>
      </c>
    </row>
    <row r="186" spans="1:6">
      <c r="A186" s="275" t="s">
        <v>1376</v>
      </c>
      <c r="B186" s="274" t="s">
        <v>1377</v>
      </c>
      <c r="C186" s="275" t="s">
        <v>65</v>
      </c>
      <c r="D186" s="275">
        <v>5</v>
      </c>
      <c r="E186" s="274" t="s">
        <v>2484</v>
      </c>
      <c r="F186" s="274" t="s">
        <v>2577</v>
      </c>
    </row>
    <row r="187" spans="1:6">
      <c r="A187" s="275" t="s">
        <v>846</v>
      </c>
      <c r="B187" s="274" t="s">
        <v>847</v>
      </c>
      <c r="C187" s="275" t="s">
        <v>63</v>
      </c>
      <c r="D187" s="275">
        <v>3</v>
      </c>
      <c r="E187" s="274" t="s">
        <v>2481</v>
      </c>
      <c r="F187" s="274" t="s">
        <v>2513</v>
      </c>
    </row>
    <row r="188" spans="1:6">
      <c r="A188" s="275" t="s">
        <v>1003</v>
      </c>
      <c r="B188" s="274" t="s">
        <v>1004</v>
      </c>
      <c r="C188" s="275" t="s">
        <v>61</v>
      </c>
      <c r="D188" s="275">
        <v>1</v>
      </c>
      <c r="E188" s="274" t="s">
        <v>2474</v>
      </c>
      <c r="F188" s="274" t="s">
        <v>2475</v>
      </c>
    </row>
    <row r="189" spans="1:6">
      <c r="A189" s="275" t="s">
        <v>1420</v>
      </c>
      <c r="B189" s="274" t="s">
        <v>1421</v>
      </c>
      <c r="C189" s="275" t="s">
        <v>61</v>
      </c>
      <c r="D189" s="275">
        <v>3</v>
      </c>
      <c r="E189" s="274" t="s">
        <v>2474</v>
      </c>
      <c r="F189" s="274" t="s">
        <v>2489</v>
      </c>
    </row>
    <row r="190" spans="1:6">
      <c r="A190" s="275" t="s">
        <v>940</v>
      </c>
      <c r="B190" s="274" t="s">
        <v>941</v>
      </c>
      <c r="C190" s="275" t="s">
        <v>65</v>
      </c>
      <c r="D190" s="275">
        <v>7</v>
      </c>
      <c r="E190" s="274" t="s">
        <v>2484</v>
      </c>
      <c r="F190" s="274" t="s">
        <v>2621</v>
      </c>
    </row>
    <row r="191" spans="1:6">
      <c r="A191" s="275" t="s">
        <v>2412</v>
      </c>
      <c r="B191" s="274" t="s">
        <v>2622</v>
      </c>
      <c r="C191" s="275" t="s">
        <v>64</v>
      </c>
      <c r="D191" s="275">
        <v>1</v>
      </c>
      <c r="E191" s="274" t="s">
        <v>2533</v>
      </c>
      <c r="F191" s="274" t="s">
        <v>2623</v>
      </c>
    </row>
    <row r="192" spans="1:6">
      <c r="A192" s="275" t="s">
        <v>971</v>
      </c>
      <c r="B192" s="274" t="s">
        <v>2624</v>
      </c>
      <c r="C192" s="275" t="s">
        <v>61</v>
      </c>
      <c r="D192" s="275">
        <v>7</v>
      </c>
      <c r="E192" s="274" t="s">
        <v>2474</v>
      </c>
      <c r="F192" s="274" t="s">
        <v>2483</v>
      </c>
    </row>
    <row r="193" spans="1:6">
      <c r="A193" s="275" t="s">
        <v>973</v>
      </c>
      <c r="B193" s="274" t="s">
        <v>974</v>
      </c>
      <c r="C193" s="275" t="s">
        <v>61</v>
      </c>
      <c r="D193" s="275">
        <v>7</v>
      </c>
      <c r="E193" s="274" t="s">
        <v>2474</v>
      </c>
      <c r="F193" s="274" t="s">
        <v>2483</v>
      </c>
    </row>
    <row r="194" spans="1:6">
      <c r="A194" s="275" t="s">
        <v>264</v>
      </c>
      <c r="B194" s="274" t="s">
        <v>265</v>
      </c>
      <c r="C194" s="275" t="s">
        <v>56</v>
      </c>
      <c r="D194" s="275">
        <v>2</v>
      </c>
      <c r="E194" s="274" t="s">
        <v>2486</v>
      </c>
      <c r="F194" s="274" t="s">
        <v>2566</v>
      </c>
    </row>
    <row r="195" spans="1:6">
      <c r="A195" s="275" t="s">
        <v>844</v>
      </c>
      <c r="B195" s="274" t="s">
        <v>845</v>
      </c>
      <c r="C195" s="275" t="s">
        <v>63</v>
      </c>
      <c r="D195" s="275">
        <v>3</v>
      </c>
      <c r="E195" s="274" t="s">
        <v>2481</v>
      </c>
      <c r="F195" s="274" t="s">
        <v>2513</v>
      </c>
    </row>
    <row r="196" spans="1:6">
      <c r="A196" s="275" t="s">
        <v>548</v>
      </c>
      <c r="B196" s="274" t="s">
        <v>2625</v>
      </c>
      <c r="C196" s="275" t="s">
        <v>63</v>
      </c>
      <c r="D196" s="275">
        <v>3</v>
      </c>
      <c r="E196" s="274" t="s">
        <v>2481</v>
      </c>
      <c r="F196" s="274" t="s">
        <v>2513</v>
      </c>
    </row>
    <row r="197" spans="1:6">
      <c r="A197" s="275" t="s">
        <v>627</v>
      </c>
      <c r="B197" s="274" t="s">
        <v>628</v>
      </c>
      <c r="C197" s="275" t="s">
        <v>63</v>
      </c>
      <c r="D197" s="275">
        <v>5</v>
      </c>
      <c r="E197" s="274" t="s">
        <v>2481</v>
      </c>
      <c r="F197" s="274" t="s">
        <v>2482</v>
      </c>
    </row>
    <row r="198" spans="1:6">
      <c r="A198" s="275" t="s">
        <v>2441</v>
      </c>
      <c r="B198" s="274" t="s">
        <v>2626</v>
      </c>
      <c r="C198" s="275" t="s">
        <v>66</v>
      </c>
      <c r="D198" s="275">
        <v>2</v>
      </c>
      <c r="E198" s="274" t="s">
        <v>2541</v>
      </c>
      <c r="F198" s="274" t="s">
        <v>2548</v>
      </c>
    </row>
    <row r="199" spans="1:6">
      <c r="A199" s="275" t="s">
        <v>1373</v>
      </c>
      <c r="B199" s="274" t="s">
        <v>1374</v>
      </c>
      <c r="C199" s="275" t="s">
        <v>65</v>
      </c>
      <c r="D199" s="275">
        <v>3</v>
      </c>
      <c r="E199" s="274" t="s">
        <v>2484</v>
      </c>
      <c r="F199" s="274" t="s">
        <v>2485</v>
      </c>
    </row>
    <row r="200" spans="1:6">
      <c r="A200" s="275" t="s">
        <v>1371</v>
      </c>
      <c r="B200" s="274" t="s">
        <v>1372</v>
      </c>
      <c r="C200" s="275" t="s">
        <v>65</v>
      </c>
      <c r="D200" s="275">
        <v>3</v>
      </c>
      <c r="E200" s="274" t="s">
        <v>2484</v>
      </c>
      <c r="F200" s="274" t="s">
        <v>2485</v>
      </c>
    </row>
    <row r="201" spans="1:6">
      <c r="A201" s="275" t="s">
        <v>1555</v>
      </c>
      <c r="B201" s="274" t="s">
        <v>1556</v>
      </c>
      <c r="C201" s="275" t="s">
        <v>66</v>
      </c>
      <c r="D201" s="275">
        <v>2</v>
      </c>
      <c r="E201" s="274" t="s">
        <v>2541</v>
      </c>
      <c r="F201" s="274" t="s">
        <v>2548</v>
      </c>
    </row>
    <row r="202" spans="1:6">
      <c r="A202" s="275" t="s">
        <v>416</v>
      </c>
      <c r="B202" s="274" t="s">
        <v>417</v>
      </c>
      <c r="C202" s="275" t="s">
        <v>59</v>
      </c>
      <c r="D202" s="275">
        <v>2</v>
      </c>
      <c r="E202" s="274" t="s">
        <v>2461</v>
      </c>
      <c r="F202" s="274" t="s">
        <v>2597</v>
      </c>
    </row>
    <row r="203" spans="1:6">
      <c r="A203" s="275" t="s">
        <v>2627</v>
      </c>
      <c r="B203" s="274" t="s">
        <v>2628</v>
      </c>
      <c r="C203" s="275" t="s">
        <v>63</v>
      </c>
      <c r="D203" s="275">
        <v>6</v>
      </c>
      <c r="E203" s="274" t="s">
        <v>2481</v>
      </c>
      <c r="F203" s="274" t="s">
        <v>555</v>
      </c>
    </row>
    <row r="204" spans="1:6">
      <c r="A204" s="275" t="s">
        <v>2629</v>
      </c>
      <c r="B204" s="274" t="s">
        <v>2630</v>
      </c>
      <c r="C204" s="275" t="s">
        <v>56</v>
      </c>
      <c r="D204" s="275">
        <v>9</v>
      </c>
      <c r="E204" s="274" t="s">
        <v>2486</v>
      </c>
      <c r="F204" s="274" t="s">
        <v>1447</v>
      </c>
    </row>
    <row r="205" spans="1:6">
      <c r="A205" s="275" t="s">
        <v>2413</v>
      </c>
      <c r="B205" s="274" t="s">
        <v>2631</v>
      </c>
      <c r="C205" s="275" t="s">
        <v>64</v>
      </c>
      <c r="D205" s="275">
        <v>2</v>
      </c>
      <c r="E205" s="274" t="s">
        <v>2533</v>
      </c>
      <c r="F205" s="274" t="s">
        <v>2534</v>
      </c>
    </row>
    <row r="206" spans="1:6">
      <c r="A206" s="275" t="s">
        <v>1142</v>
      </c>
      <c r="B206" s="274" t="s">
        <v>1143</v>
      </c>
      <c r="C206" s="275" t="s">
        <v>63</v>
      </c>
      <c r="D206" s="275">
        <v>1</v>
      </c>
      <c r="E206" s="274" t="s">
        <v>2481</v>
      </c>
      <c r="F206" s="274" t="s">
        <v>2509</v>
      </c>
    </row>
    <row r="207" spans="1:6">
      <c r="A207" s="275" t="s">
        <v>2444</v>
      </c>
      <c r="B207" s="274" t="s">
        <v>2632</v>
      </c>
      <c r="C207" s="275" t="s">
        <v>66</v>
      </c>
      <c r="D207" s="275">
        <v>2</v>
      </c>
      <c r="E207" s="274" t="s">
        <v>2541</v>
      </c>
      <c r="F207" s="274" t="s">
        <v>2548</v>
      </c>
    </row>
    <row r="208" spans="1:6">
      <c r="A208" s="275" t="s">
        <v>826</v>
      </c>
      <c r="B208" s="274" t="s">
        <v>827</v>
      </c>
      <c r="C208" s="275" t="s">
        <v>59</v>
      </c>
      <c r="D208" s="275">
        <v>3</v>
      </c>
      <c r="E208" s="274" t="s">
        <v>2461</v>
      </c>
      <c r="F208" s="274" t="s">
        <v>2479</v>
      </c>
    </row>
    <row r="209" spans="1:6">
      <c r="A209" s="275" t="s">
        <v>1042</v>
      </c>
      <c r="B209" s="274" t="s">
        <v>1043</v>
      </c>
      <c r="C209" s="275" t="s">
        <v>61</v>
      </c>
      <c r="D209" s="275">
        <v>2</v>
      </c>
      <c r="E209" s="274" t="s">
        <v>2474</v>
      </c>
      <c r="F209" s="274" t="s">
        <v>2478</v>
      </c>
    </row>
    <row r="210" spans="1:6">
      <c r="A210" s="275" t="s">
        <v>1144</v>
      </c>
      <c r="B210" s="274" t="s">
        <v>1145</v>
      </c>
      <c r="C210" s="275" t="s">
        <v>63</v>
      </c>
      <c r="D210" s="275">
        <v>4</v>
      </c>
      <c r="E210" s="274" t="s">
        <v>2481</v>
      </c>
      <c r="F210" s="274" t="s">
        <v>2573</v>
      </c>
    </row>
    <row r="211" spans="1:6">
      <c r="A211" s="275" t="s">
        <v>1032</v>
      </c>
      <c r="B211" s="274" t="s">
        <v>2633</v>
      </c>
      <c r="C211" s="275" t="s">
        <v>61</v>
      </c>
      <c r="D211" s="275">
        <v>2</v>
      </c>
      <c r="E211" s="274" t="s">
        <v>2474</v>
      </c>
      <c r="F211" s="274" t="s">
        <v>2478</v>
      </c>
    </row>
    <row r="212" spans="1:6">
      <c r="A212" s="275" t="s">
        <v>2419</v>
      </c>
      <c r="B212" s="274" t="s">
        <v>2634</v>
      </c>
      <c r="C212" s="275" t="s">
        <v>64</v>
      </c>
      <c r="D212" s="275">
        <v>2</v>
      </c>
      <c r="E212" s="274" t="s">
        <v>2533</v>
      </c>
      <c r="F212" s="274" t="s">
        <v>2534</v>
      </c>
    </row>
    <row r="213" spans="1:6">
      <c r="A213" s="275" t="s">
        <v>525</v>
      </c>
      <c r="B213" s="274" t="s">
        <v>526</v>
      </c>
      <c r="C213" s="275" t="s">
        <v>61</v>
      </c>
      <c r="D213" s="275">
        <v>5</v>
      </c>
      <c r="E213" s="274" t="s">
        <v>2474</v>
      </c>
      <c r="F213" s="274" t="s">
        <v>2497</v>
      </c>
    </row>
    <row r="214" spans="1:6">
      <c r="A214" s="275" t="s">
        <v>1073</v>
      </c>
      <c r="B214" s="274" t="s">
        <v>1074</v>
      </c>
      <c r="C214" s="275" t="s">
        <v>63</v>
      </c>
      <c r="D214" s="275">
        <v>5</v>
      </c>
      <c r="E214" s="274" t="s">
        <v>2481</v>
      </c>
      <c r="F214" s="274" t="s">
        <v>2482</v>
      </c>
    </row>
    <row r="215" spans="1:6">
      <c r="A215" s="275" t="s">
        <v>1036</v>
      </c>
      <c r="B215" s="274" t="s">
        <v>2635</v>
      </c>
      <c r="C215" s="275" t="s">
        <v>61</v>
      </c>
      <c r="D215" s="275">
        <v>2</v>
      </c>
      <c r="E215" s="274" t="s">
        <v>2474</v>
      </c>
      <c r="F215" s="274" t="s">
        <v>2478</v>
      </c>
    </row>
    <row r="216" spans="1:6">
      <c r="A216" s="275" t="s">
        <v>2417</v>
      </c>
      <c r="B216" s="274" t="s">
        <v>2636</v>
      </c>
      <c r="C216" s="275" t="s">
        <v>64</v>
      </c>
      <c r="D216" s="275">
        <v>2</v>
      </c>
      <c r="E216" s="274" t="s">
        <v>2533</v>
      </c>
      <c r="F216" s="274" t="s">
        <v>2534</v>
      </c>
    </row>
    <row r="217" spans="1:6">
      <c r="A217" s="275" t="s">
        <v>820</v>
      </c>
      <c r="B217" s="274" t="s">
        <v>821</v>
      </c>
      <c r="C217" s="275" t="s">
        <v>56</v>
      </c>
      <c r="D217" s="275">
        <v>6</v>
      </c>
      <c r="E217" s="274" t="s">
        <v>2486</v>
      </c>
      <c r="F217" s="274" t="s">
        <v>813</v>
      </c>
    </row>
    <row r="218" spans="1:6">
      <c r="A218" s="275" t="s">
        <v>878</v>
      </c>
      <c r="B218" s="274" t="s">
        <v>2637</v>
      </c>
      <c r="C218" s="275" t="s">
        <v>56</v>
      </c>
      <c r="D218" s="275">
        <v>9</v>
      </c>
      <c r="E218" s="274" t="s">
        <v>2486</v>
      </c>
      <c r="F218" s="274" t="s">
        <v>1447</v>
      </c>
    </row>
    <row r="219" spans="1:6">
      <c r="A219" s="275" t="s">
        <v>247</v>
      </c>
      <c r="B219" s="274" t="s">
        <v>2638</v>
      </c>
      <c r="C219" s="275" t="s">
        <v>63</v>
      </c>
      <c r="D219" s="275">
        <v>6</v>
      </c>
      <c r="E219" s="274" t="s">
        <v>2481</v>
      </c>
      <c r="F219" s="274" t="s">
        <v>555</v>
      </c>
    </row>
    <row r="220" spans="1:6">
      <c r="A220" s="275" t="s">
        <v>1331</v>
      </c>
      <c r="B220" s="274" t="s">
        <v>1332</v>
      </c>
      <c r="C220" s="275" t="s">
        <v>65</v>
      </c>
      <c r="D220" s="275">
        <v>3</v>
      </c>
      <c r="E220" s="274" t="s">
        <v>2484</v>
      </c>
      <c r="F220" s="274" t="s">
        <v>2485</v>
      </c>
    </row>
    <row r="221" spans="1:6">
      <c r="A221" s="275" t="s">
        <v>1333</v>
      </c>
      <c r="B221" s="274" t="s">
        <v>1334</v>
      </c>
      <c r="C221" s="275" t="s">
        <v>65</v>
      </c>
      <c r="D221" s="275">
        <v>3</v>
      </c>
      <c r="E221" s="274" t="s">
        <v>2484</v>
      </c>
      <c r="F221" s="274" t="s">
        <v>2485</v>
      </c>
    </row>
    <row r="222" spans="1:6">
      <c r="A222" s="275" t="s">
        <v>1335</v>
      </c>
      <c r="B222" s="274" t="s">
        <v>1336</v>
      </c>
      <c r="C222" s="275" t="s">
        <v>65</v>
      </c>
      <c r="D222" s="275">
        <v>3</v>
      </c>
      <c r="E222" s="274" t="s">
        <v>2484</v>
      </c>
      <c r="F222" s="274" t="s">
        <v>2485</v>
      </c>
    </row>
    <row r="223" spans="1:6">
      <c r="A223" s="275" t="s">
        <v>1337</v>
      </c>
      <c r="B223" s="274" t="s">
        <v>1338</v>
      </c>
      <c r="C223" s="275" t="s">
        <v>65</v>
      </c>
      <c r="D223" s="275">
        <v>3</v>
      </c>
      <c r="E223" s="274" t="s">
        <v>2484</v>
      </c>
      <c r="F223" s="274" t="s">
        <v>2485</v>
      </c>
    </row>
    <row r="224" spans="1:6">
      <c r="A224" s="275" t="s">
        <v>1339</v>
      </c>
      <c r="B224" s="274" t="s">
        <v>1340</v>
      </c>
      <c r="C224" s="275" t="s">
        <v>65</v>
      </c>
      <c r="D224" s="275">
        <v>3</v>
      </c>
      <c r="E224" s="274" t="s">
        <v>2484</v>
      </c>
      <c r="F224" s="274" t="s">
        <v>2485</v>
      </c>
    </row>
    <row r="225" spans="1:6">
      <c r="A225" s="275" t="s">
        <v>1341</v>
      </c>
      <c r="B225" s="274" t="s">
        <v>1342</v>
      </c>
      <c r="C225" s="275" t="s">
        <v>65</v>
      </c>
      <c r="D225" s="275">
        <v>3</v>
      </c>
      <c r="E225" s="274" t="s">
        <v>2484</v>
      </c>
      <c r="F225" s="274" t="s">
        <v>2485</v>
      </c>
    </row>
    <row r="226" spans="1:6">
      <c r="A226" s="275" t="s">
        <v>1343</v>
      </c>
      <c r="B226" s="274" t="s">
        <v>1344</v>
      </c>
      <c r="C226" s="275" t="s">
        <v>65</v>
      </c>
      <c r="D226" s="275">
        <v>3</v>
      </c>
      <c r="E226" s="274" t="s">
        <v>2484</v>
      </c>
      <c r="F226" s="274" t="s">
        <v>2485</v>
      </c>
    </row>
    <row r="227" spans="1:6">
      <c r="A227" s="275" t="s">
        <v>1345</v>
      </c>
      <c r="B227" s="274" t="s">
        <v>1346</v>
      </c>
      <c r="C227" s="275" t="s">
        <v>65</v>
      </c>
      <c r="D227" s="275">
        <v>3</v>
      </c>
      <c r="E227" s="274" t="s">
        <v>2484</v>
      </c>
      <c r="F227" s="274" t="s">
        <v>2485</v>
      </c>
    </row>
    <row r="228" spans="1:6">
      <c r="A228" s="275" t="s">
        <v>1347</v>
      </c>
      <c r="B228" s="274" t="s">
        <v>1348</v>
      </c>
      <c r="C228" s="275" t="s">
        <v>65</v>
      </c>
      <c r="D228" s="275">
        <v>3</v>
      </c>
      <c r="E228" s="274" t="s">
        <v>2484</v>
      </c>
      <c r="F228" s="274" t="s">
        <v>2485</v>
      </c>
    </row>
    <row r="229" spans="1:6">
      <c r="A229" s="275" t="s">
        <v>1349</v>
      </c>
      <c r="B229" s="274" t="s">
        <v>1350</v>
      </c>
      <c r="C229" s="275" t="s">
        <v>65</v>
      </c>
      <c r="D229" s="275">
        <v>3</v>
      </c>
      <c r="E229" s="274" t="s">
        <v>2484</v>
      </c>
      <c r="F229" s="274" t="s">
        <v>2485</v>
      </c>
    </row>
    <row r="230" spans="1:6">
      <c r="A230" s="275" t="s">
        <v>1351</v>
      </c>
      <c r="B230" s="274" t="s">
        <v>1352</v>
      </c>
      <c r="C230" s="275" t="s">
        <v>65</v>
      </c>
      <c r="D230" s="275">
        <v>3</v>
      </c>
      <c r="E230" s="274" t="s">
        <v>2484</v>
      </c>
      <c r="F230" s="274" t="s">
        <v>2485</v>
      </c>
    </row>
    <row r="231" spans="1:6">
      <c r="A231" s="275" t="s">
        <v>1225</v>
      </c>
      <c r="B231" s="274" t="s">
        <v>2639</v>
      </c>
      <c r="C231" s="275" t="s">
        <v>65</v>
      </c>
      <c r="D231" s="275">
        <v>4</v>
      </c>
      <c r="E231" s="274" t="s">
        <v>2484</v>
      </c>
      <c r="F231" s="274" t="s">
        <v>2539</v>
      </c>
    </row>
    <row r="232" spans="1:6">
      <c r="A232" s="275" t="s">
        <v>2415</v>
      </c>
      <c r="B232" s="274" t="s">
        <v>2640</v>
      </c>
      <c r="C232" s="275" t="s">
        <v>64</v>
      </c>
      <c r="D232" s="275">
        <v>2</v>
      </c>
      <c r="E232" s="274" t="s">
        <v>2533</v>
      </c>
      <c r="F232" s="274" t="s">
        <v>2534</v>
      </c>
    </row>
    <row r="233" spans="1:6">
      <c r="A233" s="275" t="s">
        <v>145</v>
      </c>
      <c r="B233" s="274" t="s">
        <v>2641</v>
      </c>
      <c r="C233" s="275" t="s">
        <v>51</v>
      </c>
      <c r="D233" s="275">
        <v>1</v>
      </c>
      <c r="E233" s="274" t="s">
        <v>149</v>
      </c>
      <c r="F233" s="274" t="s">
        <v>2642</v>
      </c>
    </row>
    <row r="234" spans="1:6">
      <c r="A234" s="275" t="s">
        <v>185</v>
      </c>
      <c r="B234" s="274" t="s">
        <v>186</v>
      </c>
      <c r="C234" s="275" t="s">
        <v>51</v>
      </c>
      <c r="D234" s="275">
        <v>1</v>
      </c>
      <c r="E234" s="274" t="s">
        <v>149</v>
      </c>
      <c r="F234" s="274" t="s">
        <v>2642</v>
      </c>
    </row>
    <row r="235" spans="1:6">
      <c r="A235" s="275" t="s">
        <v>169</v>
      </c>
      <c r="B235" s="274" t="s">
        <v>2643</v>
      </c>
      <c r="C235" s="275" t="s">
        <v>51</v>
      </c>
      <c r="D235" s="275">
        <v>1</v>
      </c>
      <c r="E235" s="274" t="s">
        <v>149</v>
      </c>
      <c r="F235" s="274" t="s">
        <v>2642</v>
      </c>
    </row>
    <row r="236" spans="1:6">
      <c r="A236" s="275" t="s">
        <v>187</v>
      </c>
      <c r="B236" s="274" t="s">
        <v>2644</v>
      </c>
      <c r="C236" s="275" t="s">
        <v>51</v>
      </c>
      <c r="D236" s="275">
        <v>2</v>
      </c>
      <c r="E236" s="274" t="s">
        <v>149</v>
      </c>
      <c r="F236" s="274" t="s">
        <v>2645</v>
      </c>
    </row>
    <row r="237" spans="1:6">
      <c r="A237" s="275" t="s">
        <v>178</v>
      </c>
      <c r="B237" s="274" t="s">
        <v>2646</v>
      </c>
      <c r="C237" s="275" t="s">
        <v>51</v>
      </c>
      <c r="D237" s="275">
        <v>3</v>
      </c>
      <c r="E237" s="274" t="s">
        <v>149</v>
      </c>
      <c r="F237" s="274" t="s">
        <v>2646</v>
      </c>
    </row>
    <row r="238" spans="1:6">
      <c r="A238" s="275" t="s">
        <v>201</v>
      </c>
      <c r="B238" s="274" t="s">
        <v>2647</v>
      </c>
      <c r="C238" s="275" t="s">
        <v>56</v>
      </c>
      <c r="D238" s="275">
        <v>1</v>
      </c>
      <c r="E238" s="274" t="s">
        <v>2486</v>
      </c>
      <c r="F238" s="274" t="s">
        <v>2648</v>
      </c>
    </row>
    <row r="239" spans="1:6">
      <c r="A239" s="275" t="s">
        <v>211</v>
      </c>
      <c r="B239" s="274" t="s">
        <v>2649</v>
      </c>
      <c r="C239" s="275" t="s">
        <v>56</v>
      </c>
      <c r="D239" s="275">
        <v>2</v>
      </c>
      <c r="E239" s="274" t="s">
        <v>2486</v>
      </c>
      <c r="F239" s="274" t="s">
        <v>2566</v>
      </c>
    </row>
    <row r="240" spans="1:6">
      <c r="A240" s="275" t="s">
        <v>227</v>
      </c>
      <c r="B240" s="274" t="s">
        <v>2650</v>
      </c>
      <c r="C240" s="275" t="s">
        <v>56</v>
      </c>
      <c r="D240" s="275">
        <v>2</v>
      </c>
      <c r="E240" s="274" t="s">
        <v>2486</v>
      </c>
      <c r="F240" s="274" t="s">
        <v>2566</v>
      </c>
    </row>
    <row r="241" spans="1:6">
      <c r="A241" s="275" t="s">
        <v>299</v>
      </c>
      <c r="B241" s="274" t="s">
        <v>2651</v>
      </c>
      <c r="C241" s="275" t="s">
        <v>56</v>
      </c>
      <c r="D241" s="275">
        <v>4</v>
      </c>
      <c r="E241" s="274" t="s">
        <v>2486</v>
      </c>
      <c r="F241" s="274" t="s">
        <v>2580</v>
      </c>
    </row>
    <row r="242" spans="1:6">
      <c r="A242" s="275" t="s">
        <v>237</v>
      </c>
      <c r="B242" s="274" t="s">
        <v>241</v>
      </c>
      <c r="C242" s="275" t="s">
        <v>56</v>
      </c>
      <c r="D242" s="275">
        <v>3</v>
      </c>
      <c r="E242" s="274" t="s">
        <v>2486</v>
      </c>
      <c r="F242" s="274" t="s">
        <v>2487</v>
      </c>
    </row>
    <row r="243" spans="1:6">
      <c r="A243" s="275" t="s">
        <v>857</v>
      </c>
      <c r="B243" s="274" t="s">
        <v>858</v>
      </c>
      <c r="C243" s="275" t="s">
        <v>56</v>
      </c>
      <c r="D243" s="275">
        <v>3</v>
      </c>
      <c r="E243" s="274" t="s">
        <v>2486</v>
      </c>
      <c r="F243" s="274" t="s">
        <v>2487</v>
      </c>
    </row>
    <row r="244" spans="1:6">
      <c r="A244" s="275" t="s">
        <v>275</v>
      </c>
      <c r="B244" s="274" t="s">
        <v>2349</v>
      </c>
      <c r="C244" s="275" t="s">
        <v>56</v>
      </c>
      <c r="D244" s="275">
        <v>4</v>
      </c>
      <c r="E244" s="274" t="s">
        <v>2486</v>
      </c>
      <c r="F244" s="274" t="s">
        <v>2580</v>
      </c>
    </row>
    <row r="245" spans="1:6">
      <c r="A245" s="275" t="s">
        <v>888</v>
      </c>
      <c r="B245" s="274" t="s">
        <v>2652</v>
      </c>
      <c r="C245" s="275" t="s">
        <v>56</v>
      </c>
      <c r="D245" s="275">
        <v>4</v>
      </c>
      <c r="E245" s="274" t="s">
        <v>2486</v>
      </c>
      <c r="F245" s="274" t="s">
        <v>2580</v>
      </c>
    </row>
    <row r="246" spans="1:6">
      <c r="A246" s="275" t="s">
        <v>434</v>
      </c>
      <c r="B246" s="274" t="s">
        <v>2653</v>
      </c>
      <c r="C246" s="275" t="s">
        <v>56</v>
      </c>
      <c r="D246" s="275">
        <v>9</v>
      </c>
      <c r="E246" s="274" t="s">
        <v>2486</v>
      </c>
      <c r="F246" s="274" t="s">
        <v>1447</v>
      </c>
    </row>
    <row r="247" spans="1:6">
      <c r="A247" s="275" t="s">
        <v>441</v>
      </c>
      <c r="B247" s="274" t="s">
        <v>2654</v>
      </c>
      <c r="C247" s="275" t="s">
        <v>56</v>
      </c>
      <c r="D247" s="275">
        <v>9</v>
      </c>
      <c r="E247" s="274" t="s">
        <v>2486</v>
      </c>
      <c r="F247" s="274" t="s">
        <v>1447</v>
      </c>
    </row>
    <row r="248" spans="1:6">
      <c r="A248" s="275" t="s">
        <v>321</v>
      </c>
      <c r="B248" s="274" t="s">
        <v>2655</v>
      </c>
      <c r="C248" s="275" t="s">
        <v>56</v>
      </c>
      <c r="D248" s="275">
        <v>9</v>
      </c>
      <c r="E248" s="274" t="s">
        <v>2486</v>
      </c>
      <c r="F248" s="274" t="s">
        <v>1447</v>
      </c>
    </row>
    <row r="249" spans="1:6">
      <c r="A249" s="275" t="s">
        <v>881</v>
      </c>
      <c r="B249" s="274" t="s">
        <v>2656</v>
      </c>
      <c r="C249" s="275" t="s">
        <v>56</v>
      </c>
      <c r="D249" s="275">
        <v>9</v>
      </c>
      <c r="E249" s="274" t="s">
        <v>2486</v>
      </c>
      <c r="F249" s="274" t="s">
        <v>1447</v>
      </c>
    </row>
    <row r="250" spans="1:6">
      <c r="A250" s="275" t="s">
        <v>817</v>
      </c>
      <c r="B250" s="274" t="s">
        <v>2657</v>
      </c>
      <c r="C250" s="275" t="s">
        <v>56</v>
      </c>
      <c r="D250" s="275">
        <v>6</v>
      </c>
      <c r="E250" s="274" t="s">
        <v>2486</v>
      </c>
      <c r="F250" s="274" t="s">
        <v>813</v>
      </c>
    </row>
    <row r="251" spans="1:6">
      <c r="A251" s="275" t="s">
        <v>736</v>
      </c>
      <c r="B251" s="274" t="s">
        <v>2658</v>
      </c>
      <c r="C251" s="275" t="s">
        <v>56</v>
      </c>
      <c r="D251" s="275">
        <v>5</v>
      </c>
      <c r="E251" s="274" t="s">
        <v>2486</v>
      </c>
      <c r="F251" s="274" t="s">
        <v>2659</v>
      </c>
    </row>
    <row r="252" spans="1:6">
      <c r="A252" s="275" t="s">
        <v>777</v>
      </c>
      <c r="B252" s="274" t="s">
        <v>778</v>
      </c>
      <c r="C252" s="275" t="s">
        <v>56</v>
      </c>
      <c r="D252" s="275">
        <v>2</v>
      </c>
      <c r="E252" s="274" t="s">
        <v>2486</v>
      </c>
      <c r="F252" s="274" t="s">
        <v>2566</v>
      </c>
    </row>
    <row r="253" spans="1:6">
      <c r="A253" s="275" t="s">
        <v>224</v>
      </c>
      <c r="B253" s="274" t="s">
        <v>2660</v>
      </c>
      <c r="C253" s="275" t="s">
        <v>56</v>
      </c>
      <c r="D253" s="275">
        <v>2</v>
      </c>
      <c r="E253" s="274" t="s">
        <v>2486</v>
      </c>
      <c r="F253" s="274" t="s">
        <v>2566</v>
      </c>
    </row>
    <row r="254" spans="1:6">
      <c r="A254" s="275" t="s">
        <v>733</v>
      </c>
      <c r="B254" s="274" t="s">
        <v>2661</v>
      </c>
      <c r="C254" s="275" t="s">
        <v>56</v>
      </c>
      <c r="D254" s="275">
        <v>5</v>
      </c>
      <c r="E254" s="274" t="s">
        <v>2486</v>
      </c>
      <c r="F254" s="274" t="s">
        <v>2659</v>
      </c>
    </row>
    <row r="255" spans="1:6">
      <c r="A255" s="275" t="s">
        <v>751</v>
      </c>
      <c r="B255" s="274" t="s">
        <v>2662</v>
      </c>
      <c r="C255" s="275" t="s">
        <v>56</v>
      </c>
      <c r="D255" s="275">
        <v>5</v>
      </c>
      <c r="E255" s="274" t="s">
        <v>2486</v>
      </c>
      <c r="F255" s="274" t="s">
        <v>2659</v>
      </c>
    </row>
    <row r="256" spans="1:6">
      <c r="A256" s="275" t="s">
        <v>754</v>
      </c>
      <c r="B256" s="274" t="s">
        <v>2663</v>
      </c>
      <c r="C256" s="275" t="s">
        <v>56</v>
      </c>
      <c r="D256" s="275">
        <v>5</v>
      </c>
      <c r="E256" s="274" t="s">
        <v>2486</v>
      </c>
      <c r="F256" s="274" t="s">
        <v>2659</v>
      </c>
    </row>
    <row r="257" spans="1:6">
      <c r="A257" s="275" t="s">
        <v>757</v>
      </c>
      <c r="B257" s="274" t="s">
        <v>2664</v>
      </c>
      <c r="C257" s="275" t="s">
        <v>56</v>
      </c>
      <c r="D257" s="275">
        <v>9</v>
      </c>
      <c r="E257" s="274" t="s">
        <v>2486</v>
      </c>
      <c r="F257" s="274" t="s">
        <v>1447</v>
      </c>
    </row>
    <row r="258" spans="1:6">
      <c r="A258" s="275" t="s">
        <v>244</v>
      </c>
      <c r="B258" s="274" t="s">
        <v>2665</v>
      </c>
      <c r="C258" s="275" t="s">
        <v>56</v>
      </c>
      <c r="D258" s="275">
        <v>3</v>
      </c>
      <c r="E258" s="274" t="s">
        <v>2486</v>
      </c>
      <c r="F258" s="274" t="s">
        <v>2487</v>
      </c>
    </row>
    <row r="259" spans="1:6">
      <c r="A259" s="275" t="s">
        <v>875</v>
      </c>
      <c r="B259" s="274" t="s">
        <v>2344</v>
      </c>
      <c r="C259" s="275" t="s">
        <v>56</v>
      </c>
      <c r="D259" s="275">
        <v>3</v>
      </c>
      <c r="E259" s="274" t="s">
        <v>2486</v>
      </c>
      <c r="F259" s="274" t="s">
        <v>2487</v>
      </c>
    </row>
    <row r="260" spans="1:6">
      <c r="A260" s="275" t="s">
        <v>1040</v>
      </c>
      <c r="B260" s="274" t="s">
        <v>2666</v>
      </c>
      <c r="C260" s="275" t="s">
        <v>61</v>
      </c>
      <c r="D260" s="275">
        <v>2</v>
      </c>
      <c r="E260" s="274" t="s">
        <v>2474</v>
      </c>
      <c r="F260" s="274" t="s">
        <v>2478</v>
      </c>
    </row>
    <row r="261" spans="1:6">
      <c r="A261" s="275" t="s">
        <v>429</v>
      </c>
      <c r="B261" s="274" t="s">
        <v>2667</v>
      </c>
      <c r="C261" s="275" t="s">
        <v>57</v>
      </c>
      <c r="D261" s="275">
        <v>3</v>
      </c>
      <c r="E261" s="274" t="s">
        <v>2593</v>
      </c>
      <c r="F261" s="274" t="s">
        <v>2668</v>
      </c>
    </row>
    <row r="262" spans="1:6">
      <c r="A262" s="275" t="s">
        <v>832</v>
      </c>
      <c r="B262" s="274" t="s">
        <v>833</v>
      </c>
      <c r="C262" s="275" t="s">
        <v>59</v>
      </c>
      <c r="D262" s="275">
        <v>3</v>
      </c>
      <c r="E262" s="274" t="s">
        <v>2461</v>
      </c>
      <c r="F262" s="274" t="s">
        <v>2479</v>
      </c>
    </row>
    <row r="263" spans="1:6">
      <c r="A263" s="275" t="s">
        <v>1123</v>
      </c>
      <c r="B263" s="274" t="s">
        <v>1124</v>
      </c>
      <c r="C263" s="275" t="s">
        <v>63</v>
      </c>
      <c r="D263" s="275">
        <v>6</v>
      </c>
      <c r="E263" s="274" t="s">
        <v>2481</v>
      </c>
      <c r="F263" s="274" t="s">
        <v>555</v>
      </c>
    </row>
    <row r="264" spans="1:6">
      <c r="A264" s="275" t="s">
        <v>252</v>
      </c>
      <c r="B264" s="274" t="s">
        <v>254</v>
      </c>
      <c r="C264" s="275" t="s">
        <v>56</v>
      </c>
      <c r="D264" s="275">
        <v>2</v>
      </c>
      <c r="E264" s="274" t="s">
        <v>2486</v>
      </c>
      <c r="F264" s="274" t="s">
        <v>2566</v>
      </c>
    </row>
    <row r="265" spans="1:6">
      <c r="A265" s="275" t="s">
        <v>814</v>
      </c>
      <c r="B265" s="274" t="s">
        <v>2669</v>
      </c>
      <c r="C265" s="275" t="s">
        <v>56</v>
      </c>
      <c r="D265" s="275">
        <v>6</v>
      </c>
      <c r="E265" s="274" t="s">
        <v>2486</v>
      </c>
      <c r="F265" s="274" t="s">
        <v>813</v>
      </c>
    </row>
    <row r="266" spans="1:6">
      <c r="A266" s="275" t="s">
        <v>745</v>
      </c>
      <c r="B266" s="274" t="s">
        <v>2670</v>
      </c>
      <c r="C266" s="275" t="s">
        <v>56</v>
      </c>
      <c r="D266" s="275">
        <v>5</v>
      </c>
      <c r="E266" s="274" t="s">
        <v>2486</v>
      </c>
      <c r="F266" s="274" t="s">
        <v>2659</v>
      </c>
    </row>
    <row r="267" spans="1:6">
      <c r="A267" s="275" t="s">
        <v>748</v>
      </c>
      <c r="B267" s="274" t="s">
        <v>2671</v>
      </c>
      <c r="C267" s="275" t="s">
        <v>56</v>
      </c>
      <c r="D267" s="275">
        <v>5</v>
      </c>
      <c r="E267" s="274" t="s">
        <v>2486</v>
      </c>
      <c r="F267" s="274" t="s">
        <v>2659</v>
      </c>
    </row>
    <row r="268" spans="1:6">
      <c r="A268" s="275" t="s">
        <v>351</v>
      </c>
      <c r="B268" s="274" t="s">
        <v>352</v>
      </c>
      <c r="C268" s="275" t="s">
        <v>57</v>
      </c>
      <c r="D268" s="275">
        <v>2</v>
      </c>
      <c r="E268" s="274" t="s">
        <v>2593</v>
      </c>
      <c r="F268" s="274" t="s">
        <v>345</v>
      </c>
    </row>
    <row r="269" spans="1:6">
      <c r="A269" s="275" t="s">
        <v>346</v>
      </c>
      <c r="B269" s="274" t="s">
        <v>2672</v>
      </c>
      <c r="C269" s="275" t="s">
        <v>57</v>
      </c>
      <c r="D269" s="275">
        <v>2</v>
      </c>
      <c r="E269" s="274" t="s">
        <v>2593</v>
      </c>
      <c r="F269" s="274" t="s">
        <v>345</v>
      </c>
    </row>
    <row r="270" spans="1:6">
      <c r="A270" s="275" t="s">
        <v>334</v>
      </c>
      <c r="B270" s="274" t="s">
        <v>2673</v>
      </c>
      <c r="C270" s="275" t="s">
        <v>57</v>
      </c>
      <c r="D270" s="275">
        <v>2</v>
      </c>
      <c r="E270" s="274" t="s">
        <v>2593</v>
      </c>
      <c r="F270" s="274" t="s">
        <v>345</v>
      </c>
    </row>
    <row r="271" spans="1:6">
      <c r="A271" s="275" t="s">
        <v>710</v>
      </c>
      <c r="B271" s="274" t="s">
        <v>2674</v>
      </c>
      <c r="C271" s="275" t="s">
        <v>57</v>
      </c>
      <c r="D271" s="275">
        <v>3</v>
      </c>
      <c r="E271" s="274" t="s">
        <v>2593</v>
      </c>
      <c r="F271" s="274" t="s">
        <v>2668</v>
      </c>
    </row>
    <row r="272" spans="1:6">
      <c r="A272" s="275" t="s">
        <v>363</v>
      </c>
      <c r="B272" s="274" t="s">
        <v>2675</v>
      </c>
      <c r="C272" s="275" t="s">
        <v>57</v>
      </c>
      <c r="D272" s="275">
        <v>2</v>
      </c>
      <c r="E272" s="274" t="s">
        <v>2593</v>
      </c>
      <c r="F272" s="274" t="s">
        <v>345</v>
      </c>
    </row>
    <row r="273" spans="1:6">
      <c r="A273" s="275" t="s">
        <v>426</v>
      </c>
      <c r="B273" s="274" t="s">
        <v>2676</v>
      </c>
      <c r="C273" s="275" t="s">
        <v>57</v>
      </c>
      <c r="D273" s="275">
        <v>3</v>
      </c>
      <c r="E273" s="274" t="s">
        <v>2593</v>
      </c>
      <c r="F273" s="274" t="s">
        <v>2668</v>
      </c>
    </row>
    <row r="274" spans="1:6">
      <c r="A274" s="275" t="s">
        <v>1396</v>
      </c>
      <c r="B274" s="274" t="s">
        <v>2677</v>
      </c>
      <c r="C274" s="275" t="s">
        <v>57</v>
      </c>
      <c r="D274" s="275">
        <v>3</v>
      </c>
      <c r="E274" s="274" t="s">
        <v>2593</v>
      </c>
      <c r="F274" s="274" t="s">
        <v>2668</v>
      </c>
    </row>
    <row r="275" spans="1:6">
      <c r="A275" s="275" t="s">
        <v>342</v>
      </c>
      <c r="B275" s="274" t="s">
        <v>345</v>
      </c>
      <c r="C275" s="275" t="s">
        <v>57</v>
      </c>
      <c r="D275" s="275">
        <v>2</v>
      </c>
      <c r="E275" s="274" t="s">
        <v>2593</v>
      </c>
      <c r="F275" s="274" t="s">
        <v>345</v>
      </c>
    </row>
    <row r="276" spans="1:6">
      <c r="A276" s="275" t="s">
        <v>336</v>
      </c>
      <c r="B276" s="274" t="s">
        <v>2678</v>
      </c>
      <c r="C276" s="275" t="s">
        <v>57</v>
      </c>
      <c r="D276" s="275">
        <v>2</v>
      </c>
      <c r="E276" s="274" t="s">
        <v>2593</v>
      </c>
      <c r="F276" s="274" t="s">
        <v>345</v>
      </c>
    </row>
    <row r="277" spans="1:6">
      <c r="A277" s="275" t="s">
        <v>338</v>
      </c>
      <c r="B277" s="274" t="s">
        <v>2679</v>
      </c>
      <c r="C277" s="275" t="s">
        <v>57</v>
      </c>
      <c r="D277" s="275">
        <v>2</v>
      </c>
      <c r="E277" s="274" t="s">
        <v>2593</v>
      </c>
      <c r="F277" s="274" t="s">
        <v>345</v>
      </c>
    </row>
    <row r="278" spans="1:6">
      <c r="A278" s="275" t="s">
        <v>714</v>
      </c>
      <c r="B278" s="274" t="s">
        <v>716</v>
      </c>
      <c r="C278" s="275" t="s">
        <v>57</v>
      </c>
      <c r="D278" s="275">
        <v>3</v>
      </c>
      <c r="E278" s="274" t="s">
        <v>2593</v>
      </c>
      <c r="F278" s="274" t="s">
        <v>2668</v>
      </c>
    </row>
    <row r="279" spans="1:6">
      <c r="A279" s="275" t="s">
        <v>405</v>
      </c>
      <c r="B279" s="274" t="s">
        <v>407</v>
      </c>
      <c r="C279" s="275" t="s">
        <v>57</v>
      </c>
      <c r="D279" s="275">
        <v>3</v>
      </c>
      <c r="E279" s="274" t="s">
        <v>2593</v>
      </c>
      <c r="F279" s="274" t="s">
        <v>2668</v>
      </c>
    </row>
    <row r="280" spans="1:6">
      <c r="A280" s="275" t="s">
        <v>408</v>
      </c>
      <c r="B280" s="274" t="s">
        <v>410</v>
      </c>
      <c r="C280" s="275" t="s">
        <v>57</v>
      </c>
      <c r="D280" s="275">
        <v>3</v>
      </c>
      <c r="E280" s="274" t="s">
        <v>2593</v>
      </c>
      <c r="F280" s="274" t="s">
        <v>2668</v>
      </c>
    </row>
    <row r="281" spans="1:6">
      <c r="A281" s="275" t="s">
        <v>717</v>
      </c>
      <c r="B281" s="274" t="s">
        <v>718</v>
      </c>
      <c r="C281" s="275" t="s">
        <v>57</v>
      </c>
      <c r="D281" s="275">
        <v>3</v>
      </c>
      <c r="E281" s="274" t="s">
        <v>2593</v>
      </c>
      <c r="F281" s="274" t="s">
        <v>2668</v>
      </c>
    </row>
    <row r="282" spans="1:6">
      <c r="A282" s="275" t="s">
        <v>720</v>
      </c>
      <c r="B282" s="274" t="s">
        <v>2680</v>
      </c>
      <c r="C282" s="275" t="s">
        <v>57</v>
      </c>
      <c r="D282" s="275">
        <v>4</v>
      </c>
      <c r="E282" s="274" t="s">
        <v>2593</v>
      </c>
      <c r="F282" s="274" t="s">
        <v>2681</v>
      </c>
    </row>
    <row r="283" spans="1:6">
      <c r="A283" s="275" t="s">
        <v>723</v>
      </c>
      <c r="B283" s="274" t="s">
        <v>2682</v>
      </c>
      <c r="C283" s="275" t="s">
        <v>57</v>
      </c>
      <c r="D283" s="275">
        <v>4</v>
      </c>
      <c r="E283" s="274" t="s">
        <v>2593</v>
      </c>
      <c r="F283" s="274" t="s">
        <v>2681</v>
      </c>
    </row>
    <row r="284" spans="1:6">
      <c r="A284" s="275" t="s">
        <v>772</v>
      </c>
      <c r="B284" s="274" t="s">
        <v>774</v>
      </c>
      <c r="C284" s="275" t="s">
        <v>57</v>
      </c>
      <c r="D284" s="275">
        <v>4</v>
      </c>
      <c r="E284" s="274" t="s">
        <v>2593</v>
      </c>
      <c r="F284" s="274" t="s">
        <v>2681</v>
      </c>
    </row>
    <row r="285" spans="1:6">
      <c r="A285" s="275" t="s">
        <v>371</v>
      </c>
      <c r="B285" s="274" t="s">
        <v>373</v>
      </c>
      <c r="C285" s="275" t="s">
        <v>57</v>
      </c>
      <c r="D285" s="275">
        <v>5</v>
      </c>
      <c r="E285" s="274" t="s">
        <v>2593</v>
      </c>
      <c r="F285" s="274" t="s">
        <v>2594</v>
      </c>
    </row>
    <row r="286" spans="1:6">
      <c r="A286" s="275" t="s">
        <v>727</v>
      </c>
      <c r="B286" s="274" t="s">
        <v>2683</v>
      </c>
      <c r="C286" s="275" t="s">
        <v>57</v>
      </c>
      <c r="D286" s="275">
        <v>5</v>
      </c>
      <c r="E286" s="274" t="s">
        <v>2593</v>
      </c>
      <c r="F286" s="274" t="s">
        <v>2594</v>
      </c>
    </row>
    <row r="287" spans="1:6">
      <c r="A287" s="275" t="s">
        <v>730</v>
      </c>
      <c r="B287" s="274" t="s">
        <v>2684</v>
      </c>
      <c r="C287" s="275" t="s">
        <v>57</v>
      </c>
      <c r="D287" s="275">
        <v>5</v>
      </c>
      <c r="E287" s="274" t="s">
        <v>2593</v>
      </c>
      <c r="F287" s="274" t="s">
        <v>2594</v>
      </c>
    </row>
    <row r="288" spans="1:6">
      <c r="A288" s="275" t="s">
        <v>368</v>
      </c>
      <c r="B288" s="274" t="s">
        <v>370</v>
      </c>
      <c r="C288" s="275" t="s">
        <v>57</v>
      </c>
      <c r="D288" s="275">
        <v>5</v>
      </c>
      <c r="E288" s="274" t="s">
        <v>2593</v>
      </c>
      <c r="F288" s="274" t="s">
        <v>2594</v>
      </c>
    </row>
    <row r="289" spans="1:6">
      <c r="A289" s="275" t="s">
        <v>324</v>
      </c>
      <c r="B289" s="274" t="s">
        <v>2685</v>
      </c>
      <c r="C289" s="275" t="s">
        <v>57</v>
      </c>
      <c r="D289" s="275">
        <v>1</v>
      </c>
      <c r="E289" s="274" t="s">
        <v>2593</v>
      </c>
      <c r="F289" s="274" t="s">
        <v>2686</v>
      </c>
    </row>
    <row r="290" spans="1:6">
      <c r="A290" s="275" t="s">
        <v>673</v>
      </c>
      <c r="B290" s="274" t="s">
        <v>2687</v>
      </c>
      <c r="C290" s="275" t="s">
        <v>57</v>
      </c>
      <c r="D290" s="275">
        <v>3</v>
      </c>
      <c r="E290" s="274" t="s">
        <v>2593</v>
      </c>
      <c r="F290" s="274" t="s">
        <v>2668</v>
      </c>
    </row>
    <row r="291" spans="1:6">
      <c r="A291" s="275" t="s">
        <v>360</v>
      </c>
      <c r="B291" s="274" t="s">
        <v>2688</v>
      </c>
      <c r="C291" s="275" t="s">
        <v>57</v>
      </c>
      <c r="D291" s="275">
        <v>3</v>
      </c>
      <c r="E291" s="274" t="s">
        <v>2593</v>
      </c>
      <c r="F291" s="274" t="s">
        <v>2668</v>
      </c>
    </row>
    <row r="292" spans="1:6">
      <c r="A292" s="275" t="s">
        <v>349</v>
      </c>
      <c r="B292" s="274" t="s">
        <v>2689</v>
      </c>
      <c r="C292" s="275" t="s">
        <v>57</v>
      </c>
      <c r="D292" s="275">
        <v>2</v>
      </c>
      <c r="E292" s="274" t="s">
        <v>2593</v>
      </c>
      <c r="F292" s="274" t="s">
        <v>345</v>
      </c>
    </row>
    <row r="293" spans="1:6">
      <c r="A293" s="275" t="s">
        <v>691</v>
      </c>
      <c r="B293" s="274" t="s">
        <v>2690</v>
      </c>
      <c r="C293" s="275" t="s">
        <v>57</v>
      </c>
      <c r="D293" s="275">
        <v>1</v>
      </c>
      <c r="E293" s="274" t="s">
        <v>2593</v>
      </c>
      <c r="F293" s="274" t="s">
        <v>2686</v>
      </c>
    </row>
    <row r="294" spans="1:6">
      <c r="A294" s="275" t="s">
        <v>694</v>
      </c>
      <c r="B294" s="274" t="s">
        <v>2691</v>
      </c>
      <c r="C294" s="275" t="s">
        <v>57</v>
      </c>
      <c r="D294" s="275">
        <v>1</v>
      </c>
      <c r="E294" s="274" t="s">
        <v>2593</v>
      </c>
      <c r="F294" s="274" t="s">
        <v>2686</v>
      </c>
    </row>
    <row r="295" spans="1:6">
      <c r="A295" s="275" t="s">
        <v>698</v>
      </c>
      <c r="B295" s="274" t="s">
        <v>2692</v>
      </c>
      <c r="C295" s="275" t="s">
        <v>57</v>
      </c>
      <c r="D295" s="275">
        <v>1</v>
      </c>
      <c r="E295" s="274" t="s">
        <v>2593</v>
      </c>
      <c r="F295" s="274" t="s">
        <v>2686</v>
      </c>
    </row>
    <row r="296" spans="1:6">
      <c r="A296" s="275" t="s">
        <v>701</v>
      </c>
      <c r="B296" s="274" t="s">
        <v>2693</v>
      </c>
      <c r="C296" s="275" t="s">
        <v>57</v>
      </c>
      <c r="D296" s="275">
        <v>1</v>
      </c>
      <c r="E296" s="274" t="s">
        <v>2593</v>
      </c>
      <c r="F296" s="274" t="s">
        <v>2686</v>
      </c>
    </row>
    <row r="297" spans="1:6">
      <c r="A297" s="275" t="s">
        <v>704</v>
      </c>
      <c r="B297" s="274" t="s">
        <v>2694</v>
      </c>
      <c r="C297" s="275" t="s">
        <v>57</v>
      </c>
      <c r="D297" s="275">
        <v>1</v>
      </c>
      <c r="E297" s="274" t="s">
        <v>2593</v>
      </c>
      <c r="F297" s="274" t="s">
        <v>2686</v>
      </c>
    </row>
    <row r="298" spans="1:6">
      <c r="A298" s="275" t="s">
        <v>707</v>
      </c>
      <c r="B298" s="274" t="s">
        <v>2695</v>
      </c>
      <c r="C298" s="275" t="s">
        <v>57</v>
      </c>
      <c r="D298" s="275">
        <v>1</v>
      </c>
      <c r="E298" s="274" t="s">
        <v>2593</v>
      </c>
      <c r="F298" s="274" t="s">
        <v>2686</v>
      </c>
    </row>
    <row r="299" spans="1:6">
      <c r="A299" s="275" t="s">
        <v>365</v>
      </c>
      <c r="B299" s="274" t="s">
        <v>2696</v>
      </c>
      <c r="C299" s="275" t="s">
        <v>57</v>
      </c>
      <c r="D299" s="275">
        <v>5</v>
      </c>
      <c r="E299" s="274" t="s">
        <v>2593</v>
      </c>
      <c r="F299" s="274" t="s">
        <v>2594</v>
      </c>
    </row>
    <row r="300" spans="1:6">
      <c r="A300" s="275" t="s">
        <v>432</v>
      </c>
      <c r="B300" s="274" t="s">
        <v>2697</v>
      </c>
      <c r="C300" s="275" t="s">
        <v>57</v>
      </c>
      <c r="D300" s="275">
        <v>3</v>
      </c>
      <c r="E300" s="274" t="s">
        <v>2593</v>
      </c>
      <c r="F300" s="274" t="s">
        <v>2668</v>
      </c>
    </row>
    <row r="301" spans="1:6">
      <c r="A301" s="275" t="s">
        <v>2418</v>
      </c>
      <c r="B301" s="274" t="s">
        <v>2698</v>
      </c>
      <c r="C301" s="275" t="s">
        <v>64</v>
      </c>
      <c r="D301" s="275">
        <v>2</v>
      </c>
      <c r="E301" s="274" t="s">
        <v>2533</v>
      </c>
      <c r="F301" s="274" t="s">
        <v>2534</v>
      </c>
    </row>
    <row r="302" spans="1:6">
      <c r="A302" s="275" t="s">
        <v>2410</v>
      </c>
      <c r="B302" s="274" t="s">
        <v>2699</v>
      </c>
      <c r="C302" s="275" t="s">
        <v>61</v>
      </c>
      <c r="D302" s="275">
        <v>3</v>
      </c>
      <c r="E302" s="274" t="s">
        <v>2474</v>
      </c>
      <c r="F302" s="274" t="s">
        <v>2489</v>
      </c>
    </row>
    <row r="303" spans="1:6">
      <c r="A303" s="275" t="s">
        <v>2409</v>
      </c>
      <c r="B303" s="274" t="s">
        <v>2700</v>
      </c>
      <c r="C303" s="275" t="s">
        <v>61</v>
      </c>
      <c r="D303" s="275">
        <v>3</v>
      </c>
      <c r="E303" s="274" t="s">
        <v>2474</v>
      </c>
      <c r="F303" s="274" t="s">
        <v>2489</v>
      </c>
    </row>
    <row r="304" spans="1:6">
      <c r="A304" s="275" t="s">
        <v>2445</v>
      </c>
      <c r="B304" s="274" t="s">
        <v>2701</v>
      </c>
      <c r="C304" s="275" t="s">
        <v>66</v>
      </c>
      <c r="D304" s="275">
        <v>2</v>
      </c>
      <c r="E304" s="274" t="s">
        <v>2541</v>
      </c>
      <c r="F304" s="274" t="s">
        <v>2548</v>
      </c>
    </row>
    <row r="305" spans="1:6">
      <c r="A305" s="275" t="s">
        <v>494</v>
      </c>
      <c r="B305" s="274" t="s">
        <v>495</v>
      </c>
      <c r="C305" s="275" t="s">
        <v>61</v>
      </c>
      <c r="D305" s="275">
        <v>5</v>
      </c>
      <c r="E305" s="274" t="s">
        <v>2474</v>
      </c>
      <c r="F305" s="274" t="s">
        <v>2497</v>
      </c>
    </row>
    <row r="306" spans="1:6">
      <c r="A306" s="275" t="s">
        <v>1353</v>
      </c>
      <c r="B306" s="274" t="s">
        <v>1354</v>
      </c>
      <c r="C306" s="275" t="s">
        <v>65</v>
      </c>
      <c r="D306" s="275">
        <v>3</v>
      </c>
      <c r="E306" s="274" t="s">
        <v>2484</v>
      </c>
      <c r="F306" s="274" t="s">
        <v>2485</v>
      </c>
    </row>
    <row r="307" spans="1:6">
      <c r="A307" s="275" t="s">
        <v>1355</v>
      </c>
      <c r="B307" s="274" t="s">
        <v>1356</v>
      </c>
      <c r="C307" s="275" t="s">
        <v>65</v>
      </c>
      <c r="D307" s="275">
        <v>3</v>
      </c>
      <c r="E307" s="274" t="s">
        <v>2484</v>
      </c>
      <c r="F307" s="274" t="s">
        <v>2485</v>
      </c>
    </row>
    <row r="308" spans="1:6">
      <c r="A308" s="275" t="s">
        <v>1357</v>
      </c>
      <c r="B308" s="274" t="s">
        <v>1358</v>
      </c>
      <c r="C308" s="275" t="s">
        <v>65</v>
      </c>
      <c r="D308" s="275">
        <v>3</v>
      </c>
      <c r="E308" s="274" t="s">
        <v>2484</v>
      </c>
      <c r="F308" s="274" t="s">
        <v>2485</v>
      </c>
    </row>
    <row r="309" spans="1:6">
      <c r="A309" s="275" t="s">
        <v>1359</v>
      </c>
      <c r="B309" s="274" t="s">
        <v>1360</v>
      </c>
      <c r="C309" s="275" t="s">
        <v>65</v>
      </c>
      <c r="D309" s="275">
        <v>3</v>
      </c>
      <c r="E309" s="274" t="s">
        <v>2484</v>
      </c>
      <c r="F309" s="274" t="s">
        <v>2485</v>
      </c>
    </row>
    <row r="310" spans="1:6">
      <c r="A310" s="275" t="s">
        <v>1361</v>
      </c>
      <c r="B310" s="274" t="s">
        <v>1362</v>
      </c>
      <c r="C310" s="275" t="s">
        <v>65</v>
      </c>
      <c r="D310" s="275">
        <v>3</v>
      </c>
      <c r="E310" s="274" t="s">
        <v>2484</v>
      </c>
      <c r="F310" s="274" t="s">
        <v>2485</v>
      </c>
    </row>
    <row r="311" spans="1:6">
      <c r="A311" s="275" t="s">
        <v>1363</v>
      </c>
      <c r="B311" s="274" t="s">
        <v>1364</v>
      </c>
      <c r="C311" s="275" t="s">
        <v>65</v>
      </c>
      <c r="D311" s="275">
        <v>3</v>
      </c>
      <c r="E311" s="274" t="s">
        <v>2484</v>
      </c>
      <c r="F311" s="274" t="s">
        <v>2485</v>
      </c>
    </row>
    <row r="312" spans="1:6">
      <c r="A312" s="275" t="s">
        <v>1365</v>
      </c>
      <c r="B312" s="274" t="s">
        <v>1366</v>
      </c>
      <c r="C312" s="275" t="s">
        <v>65</v>
      </c>
      <c r="D312" s="275">
        <v>3</v>
      </c>
      <c r="E312" s="274" t="s">
        <v>2484</v>
      </c>
      <c r="F312" s="274" t="s">
        <v>2485</v>
      </c>
    </row>
    <row r="313" spans="1:6">
      <c r="A313" s="275" t="s">
        <v>1367</v>
      </c>
      <c r="B313" s="274" t="s">
        <v>1368</v>
      </c>
      <c r="C313" s="275" t="s">
        <v>65</v>
      </c>
      <c r="D313" s="275">
        <v>3</v>
      </c>
      <c r="E313" s="274" t="s">
        <v>2484</v>
      </c>
      <c r="F313" s="274" t="s">
        <v>2485</v>
      </c>
    </row>
    <row r="314" spans="1:6">
      <c r="A314" s="275" t="s">
        <v>1076</v>
      </c>
      <c r="B314" s="274" t="s">
        <v>2702</v>
      </c>
      <c r="C314" s="275" t="s">
        <v>63</v>
      </c>
      <c r="D314" s="275">
        <v>5</v>
      </c>
      <c r="E314" s="274" t="s">
        <v>2481</v>
      </c>
      <c r="F314" s="274" t="s">
        <v>2482</v>
      </c>
    </row>
    <row r="315" spans="1:6">
      <c r="A315" s="275" t="s">
        <v>1028</v>
      </c>
      <c r="B315" s="274" t="s">
        <v>2703</v>
      </c>
      <c r="C315" s="275" t="s">
        <v>61</v>
      </c>
      <c r="D315" s="275">
        <v>2</v>
      </c>
      <c r="E315" s="274" t="s">
        <v>2474</v>
      </c>
      <c r="F315" s="274" t="s">
        <v>2478</v>
      </c>
    </row>
    <row r="316" spans="1:6">
      <c r="A316" s="275" t="s">
        <v>632</v>
      </c>
      <c r="B316" s="274" t="s">
        <v>633</v>
      </c>
      <c r="C316" s="275" t="s">
        <v>59</v>
      </c>
      <c r="D316" s="275">
        <v>5</v>
      </c>
      <c r="E316" s="274" t="s">
        <v>2461</v>
      </c>
      <c r="F316" s="274" t="s">
        <v>2467</v>
      </c>
    </row>
    <row r="317" spans="1:6">
      <c r="A317" s="275" t="s">
        <v>1317</v>
      </c>
      <c r="B317" s="274" t="s">
        <v>1318</v>
      </c>
      <c r="C317" s="275" t="s">
        <v>65</v>
      </c>
      <c r="D317" s="275">
        <v>3</v>
      </c>
      <c r="E317" s="274" t="s">
        <v>2484</v>
      </c>
      <c r="F317" s="274" t="s">
        <v>2485</v>
      </c>
    </row>
    <row r="318" spans="1:6">
      <c r="A318" s="275" t="s">
        <v>2446</v>
      </c>
      <c r="B318" s="274" t="s">
        <v>2704</v>
      </c>
      <c r="C318" s="275" t="s">
        <v>66</v>
      </c>
      <c r="D318" s="275">
        <v>2</v>
      </c>
      <c r="E318" s="274" t="s">
        <v>2541</v>
      </c>
      <c r="F318" s="274" t="s">
        <v>2548</v>
      </c>
    </row>
    <row r="319" spans="1:6">
      <c r="A319" s="275" t="s">
        <v>1313</v>
      </c>
      <c r="B319" s="274" t="s">
        <v>1314</v>
      </c>
      <c r="C319" s="275" t="s">
        <v>65</v>
      </c>
      <c r="D319" s="275">
        <v>3</v>
      </c>
      <c r="E319" s="274" t="s">
        <v>2484</v>
      </c>
      <c r="F319" s="274" t="s">
        <v>2485</v>
      </c>
    </row>
    <row r="320" spans="1:6">
      <c r="A320" s="275" t="s">
        <v>1315</v>
      </c>
      <c r="B320" s="274" t="s">
        <v>1316</v>
      </c>
      <c r="C320" s="275" t="s">
        <v>65</v>
      </c>
      <c r="D320" s="275">
        <v>3</v>
      </c>
      <c r="E320" s="274" t="s">
        <v>2484</v>
      </c>
      <c r="F320" s="274" t="s">
        <v>2485</v>
      </c>
    </row>
    <row r="321" spans="1:6">
      <c r="A321" s="275" t="s">
        <v>1319</v>
      </c>
      <c r="B321" s="274" t="s">
        <v>1320</v>
      </c>
      <c r="C321" s="275" t="s">
        <v>65</v>
      </c>
      <c r="D321" s="275">
        <v>3</v>
      </c>
      <c r="E321" s="274" t="s">
        <v>2484</v>
      </c>
      <c r="F321" s="274" t="s">
        <v>2485</v>
      </c>
    </row>
    <row r="322" spans="1:6">
      <c r="A322" s="275" t="s">
        <v>1321</v>
      </c>
      <c r="B322" s="274" t="s">
        <v>1322</v>
      </c>
      <c r="C322" s="275" t="s">
        <v>65</v>
      </c>
      <c r="D322" s="275">
        <v>3</v>
      </c>
      <c r="E322" s="274" t="s">
        <v>2484</v>
      </c>
      <c r="F322" s="274" t="s">
        <v>2485</v>
      </c>
    </row>
    <row r="323" spans="1:6">
      <c r="A323" s="275" t="s">
        <v>1323</v>
      </c>
      <c r="B323" s="274" t="s">
        <v>1324</v>
      </c>
      <c r="C323" s="275" t="s">
        <v>65</v>
      </c>
      <c r="D323" s="275">
        <v>3</v>
      </c>
      <c r="E323" s="274" t="s">
        <v>2484</v>
      </c>
      <c r="F323" s="274" t="s">
        <v>2485</v>
      </c>
    </row>
    <row r="324" spans="1:6">
      <c r="A324" s="275" t="s">
        <v>1325</v>
      </c>
      <c r="B324" s="274" t="s">
        <v>1326</v>
      </c>
      <c r="C324" s="275" t="s">
        <v>65</v>
      </c>
      <c r="D324" s="275">
        <v>3</v>
      </c>
      <c r="E324" s="274" t="s">
        <v>2484</v>
      </c>
      <c r="F324" s="274" t="s">
        <v>2485</v>
      </c>
    </row>
    <row r="325" spans="1:6">
      <c r="A325" s="275" t="s">
        <v>1327</v>
      </c>
      <c r="B325" s="274" t="s">
        <v>1328</v>
      </c>
      <c r="C325" s="275" t="s">
        <v>65</v>
      </c>
      <c r="D325" s="275">
        <v>3</v>
      </c>
      <c r="E325" s="274" t="s">
        <v>2484</v>
      </c>
      <c r="F325" s="274" t="s">
        <v>2485</v>
      </c>
    </row>
    <row r="326" spans="1:6">
      <c r="A326" s="275" t="s">
        <v>1329</v>
      </c>
      <c r="B326" s="274" t="s">
        <v>1330</v>
      </c>
      <c r="C326" s="275" t="s">
        <v>65</v>
      </c>
      <c r="D326" s="275">
        <v>3</v>
      </c>
      <c r="E326" s="274" t="s">
        <v>2484</v>
      </c>
      <c r="F326" s="274" t="s">
        <v>2485</v>
      </c>
    </row>
    <row r="327" spans="1:6">
      <c r="A327" s="275" t="s">
        <v>395</v>
      </c>
      <c r="B327" s="274" t="s">
        <v>396</v>
      </c>
      <c r="C327" s="275" t="s">
        <v>59</v>
      </c>
      <c r="D327" s="275">
        <v>4</v>
      </c>
      <c r="E327" s="274" t="s">
        <v>2461</v>
      </c>
      <c r="F327" s="274" t="s">
        <v>2603</v>
      </c>
    </row>
    <row r="328" spans="1:6">
      <c r="A328" s="275" t="s">
        <v>354</v>
      </c>
      <c r="B328" s="274" t="s">
        <v>355</v>
      </c>
      <c r="C328" s="275" t="s">
        <v>56</v>
      </c>
      <c r="D328" s="275">
        <v>9</v>
      </c>
      <c r="E328" s="274" t="s">
        <v>2486</v>
      </c>
      <c r="F328" s="274" t="s">
        <v>1447</v>
      </c>
    </row>
    <row r="329" spans="1:6">
      <c r="A329" s="275" t="s">
        <v>1078</v>
      </c>
      <c r="B329" s="274" t="s">
        <v>1079</v>
      </c>
      <c r="C329" s="275" t="s">
        <v>63</v>
      </c>
      <c r="D329" s="275">
        <v>5</v>
      </c>
      <c r="E329" s="274" t="s">
        <v>2481</v>
      </c>
      <c r="F329" s="274" t="s">
        <v>2482</v>
      </c>
    </row>
    <row r="330" spans="1:6">
      <c r="A330" s="275" t="s">
        <v>167</v>
      </c>
      <c r="B330" s="274" t="s">
        <v>2705</v>
      </c>
      <c r="C330" s="275" t="s">
        <v>51</v>
      </c>
      <c r="D330" s="275">
        <v>1</v>
      </c>
      <c r="E330" s="274" t="s">
        <v>149</v>
      </c>
      <c r="F330" s="274" t="s">
        <v>2642</v>
      </c>
    </row>
    <row r="331" spans="1:6">
      <c r="A331" s="275" t="s">
        <v>411</v>
      </c>
      <c r="B331" s="274" t="s">
        <v>412</v>
      </c>
      <c r="C331" s="275" t="s">
        <v>59</v>
      </c>
      <c r="D331" s="275">
        <v>1</v>
      </c>
      <c r="E331" s="274" t="s">
        <v>2461</v>
      </c>
      <c r="F331" s="274" t="s">
        <v>376</v>
      </c>
    </row>
    <row r="332" spans="1:6">
      <c r="A332" s="275" t="s">
        <v>529</v>
      </c>
      <c r="B332" s="274" t="s">
        <v>530</v>
      </c>
      <c r="C332" s="275" t="s">
        <v>61</v>
      </c>
      <c r="D332" s="275">
        <v>5</v>
      </c>
      <c r="E332" s="274" t="s">
        <v>2474</v>
      </c>
      <c r="F332" s="274" t="s">
        <v>2497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309" bestFit="1" customWidth="1"/>
    <col min="2" max="2" width="8.75" style="314" bestFit="1" customWidth="1"/>
    <col min="3" max="3" width="9.25" style="315" customWidth="1"/>
    <col min="4" max="5" width="15.25" style="310" bestFit="1" customWidth="1"/>
    <col min="6" max="6" width="13" style="310" bestFit="1" customWidth="1"/>
    <col min="7" max="7" width="17.875" style="316" customWidth="1"/>
    <col min="8" max="8" width="17.875" style="317" customWidth="1"/>
    <col min="9" max="9" width="13.25" style="318" bestFit="1" customWidth="1"/>
    <col min="10" max="10" width="22.375" style="305" bestFit="1" customWidth="1"/>
    <col min="11" max="13" width="9" style="311" customWidth="1"/>
    <col min="14" max="16384" width="9" style="311"/>
  </cols>
  <sheetData>
    <row r="1" spans="1:10" s="47" customFormat="1" ht="15" customHeight="1">
      <c r="A1" s="125" t="s">
        <v>74</v>
      </c>
      <c r="B1" s="379" t="s">
        <v>75</v>
      </c>
      <c r="C1" s="380" t="s">
        <v>76</v>
      </c>
      <c r="D1" s="145" t="s">
        <v>77</v>
      </c>
      <c r="E1" s="145" t="s">
        <v>78</v>
      </c>
      <c r="F1" s="145" t="s">
        <v>2706</v>
      </c>
      <c r="G1" s="381" t="s">
        <v>82</v>
      </c>
      <c r="H1" s="382" t="s">
        <v>83</v>
      </c>
      <c r="I1" s="383" t="s">
        <v>2707</v>
      </c>
    </row>
    <row r="2" spans="1:10" ht="15" hidden="1" customHeight="1">
      <c r="A2" s="309">
        <v>44396</v>
      </c>
      <c r="B2" s="314">
        <f>表格1_5[[#This Row],[日期]]</f>
        <v>44396</v>
      </c>
      <c r="C2" s="315">
        <v>366</v>
      </c>
      <c r="D2" s="310">
        <f>COUNTIF(URS確認!K:K,"&lt;"&amp;A2+1)</f>
        <v>7</v>
      </c>
      <c r="E2" s="310">
        <f>COUNTIF(URS確認!M:M,"&lt;"&amp;A2+1)</f>
        <v>0</v>
      </c>
      <c r="F2" s="310">
        <f t="shared" ref="F2:F42" si="0">D2-E2</f>
        <v>7</v>
      </c>
      <c r="G2" s="316">
        <f>COUNTIF(URS確認!K:K,"&lt;"&amp;A2+1)/C2</f>
        <v>1.912568306010929E-2</v>
      </c>
      <c r="H2" s="316">
        <f>COUNTIF(URS確認!M:M,"&lt;"&amp;A2+1)/C2</f>
        <v>0</v>
      </c>
      <c r="I2" s="316">
        <f>表格1_5[[#This Row],[累計預估達成率]]-表格1_5[[#This Row],[累計實際達成率]]</f>
        <v>1.912568306010929E-2</v>
      </c>
      <c r="J2" s="311"/>
    </row>
    <row r="3" spans="1:10" ht="15" hidden="1" customHeight="1">
      <c r="A3" s="309">
        <v>44397</v>
      </c>
      <c r="B3" s="314">
        <f>表格1_5[[#This Row],[日期]]</f>
        <v>44397</v>
      </c>
      <c r="C3" s="315">
        <v>366</v>
      </c>
      <c r="D3" s="310">
        <f>COUNTIF(URS確認!K:K,"&lt;"&amp;A3+1)</f>
        <v>23</v>
      </c>
      <c r="E3" s="310">
        <f>COUNTIF(URS確認!M:M,"&lt;"&amp;A3+1)</f>
        <v>0</v>
      </c>
      <c r="F3" s="310">
        <f t="shared" si="0"/>
        <v>23</v>
      </c>
      <c r="G3" s="316">
        <f>COUNTIF(URS確認!K:K,"&lt;"&amp;A3+1)/C3</f>
        <v>6.2841530054644809E-2</v>
      </c>
      <c r="H3" s="316">
        <f>COUNTIF(URS確認!M:M,"&lt;"&amp;A3+1)/C3</f>
        <v>0</v>
      </c>
      <c r="I3" s="316">
        <f>表格1_5[[#This Row],[累計預估達成率]]-表格1_5[[#This Row],[累計實際達成率]]</f>
        <v>6.2841530054644809E-2</v>
      </c>
      <c r="J3" s="311"/>
    </row>
    <row r="4" spans="1:10" ht="15" hidden="1" customHeight="1">
      <c r="A4" s="309">
        <v>44398</v>
      </c>
      <c r="B4" s="314">
        <f>表格1_5[[#This Row],[日期]]</f>
        <v>44398</v>
      </c>
      <c r="C4" s="315">
        <v>366</v>
      </c>
      <c r="D4" s="310">
        <f>COUNTIF(URS確認!K:K,"&lt;"&amp;A4+1)</f>
        <v>27</v>
      </c>
      <c r="E4" s="310">
        <f>COUNTIF(URS確認!M:M,"&lt;"&amp;A4+1)</f>
        <v>0</v>
      </c>
      <c r="F4" s="310">
        <f t="shared" si="0"/>
        <v>27</v>
      </c>
      <c r="G4" s="316">
        <f>COUNTIF(URS確認!K:K,"&lt;"&amp;A4+1)/C4</f>
        <v>7.3770491803278687E-2</v>
      </c>
      <c r="H4" s="316">
        <f>COUNTIF(URS確認!M:M,"&lt;"&amp;A4+1)/C4</f>
        <v>0</v>
      </c>
      <c r="I4" s="316">
        <f>表格1_5[[#This Row],[累計預估達成率]]-表格1_5[[#This Row],[累計實際達成率]]</f>
        <v>7.3770491803278687E-2</v>
      </c>
      <c r="J4" s="311"/>
    </row>
    <row r="5" spans="1:10" ht="15" hidden="1" customHeight="1">
      <c r="A5" s="309">
        <v>44399</v>
      </c>
      <c r="B5" s="314">
        <f>表格1_5[[#This Row],[日期]]</f>
        <v>44399</v>
      </c>
      <c r="C5" s="315">
        <v>366</v>
      </c>
      <c r="D5" s="310">
        <f>COUNTIF(URS確認!K:K,"&lt;"&amp;A5+1)</f>
        <v>36</v>
      </c>
      <c r="E5" s="310">
        <f>COUNTIF(URS確認!M:M,"&lt;"&amp;A5+1)</f>
        <v>1</v>
      </c>
      <c r="F5" s="310">
        <f t="shared" si="0"/>
        <v>35</v>
      </c>
      <c r="G5" s="316">
        <f>COUNTIF(URS確認!K:K,"&lt;"&amp;A5+1)/C5</f>
        <v>9.8360655737704916E-2</v>
      </c>
      <c r="H5" s="316">
        <f>COUNTIF(URS確認!M:M,"&lt;"&amp;A5+1)/C5</f>
        <v>2.7322404371584699E-3</v>
      </c>
      <c r="I5" s="316">
        <f>表格1_5[[#This Row],[累計預估達成率]]-表格1_5[[#This Row],[累計實際達成率]]</f>
        <v>9.5628415300546443E-2</v>
      </c>
      <c r="J5" s="311"/>
    </row>
    <row r="6" spans="1:10" ht="15" customHeight="1">
      <c r="A6" s="48">
        <v>44400</v>
      </c>
      <c r="B6" s="335">
        <f>表格1_5[[#This Row],[日期]]</f>
        <v>44400</v>
      </c>
      <c r="C6" s="336">
        <v>366</v>
      </c>
      <c r="D6" s="83">
        <f>COUNTIF(URS確認!K:K,"&lt;"&amp;A6+1)</f>
        <v>36</v>
      </c>
      <c r="E6" s="83">
        <f>COUNTIF(URS確認!M:M,"&lt;"&amp;A6+1)</f>
        <v>1</v>
      </c>
      <c r="F6" s="83">
        <f t="shared" si="0"/>
        <v>35</v>
      </c>
      <c r="G6" s="337">
        <f>COUNTIF(URS確認!K:K,"&lt;"&amp;A6+1)/C6</f>
        <v>9.8360655737704916E-2</v>
      </c>
      <c r="H6" s="337">
        <f>COUNTIF(URS確認!M:M,"&lt;"&amp;A6+1)/C6</f>
        <v>2.7322404371584699E-3</v>
      </c>
      <c r="I6" s="337">
        <f>表格1_5[[#This Row],[累計預估達成率]]-表格1_5[[#This Row],[累計實際達成率]]</f>
        <v>9.5628415300546443E-2</v>
      </c>
      <c r="J6" s="311"/>
    </row>
    <row r="7" spans="1:10" ht="15" hidden="1" customHeight="1">
      <c r="A7" s="309">
        <v>44403</v>
      </c>
      <c r="B7" s="314">
        <f>表格1_5[[#This Row],[日期]]</f>
        <v>44403</v>
      </c>
      <c r="C7" s="315">
        <v>366</v>
      </c>
      <c r="D7" s="310">
        <f>COUNTIF(URS確認!K:K,"&lt;"&amp;A7+1)</f>
        <v>45</v>
      </c>
      <c r="E7" s="310">
        <f>COUNTIF(URS確認!M:M,"&lt;"&amp;A7+1)</f>
        <v>1</v>
      </c>
      <c r="F7" s="310">
        <f t="shared" si="0"/>
        <v>44</v>
      </c>
      <c r="G7" s="316">
        <f>COUNTIF(URS確認!K:K,"&lt;"&amp;A7+1)/C7</f>
        <v>0.12295081967213115</v>
      </c>
      <c r="H7" s="316">
        <f>COUNTIF(URS確認!M:M,"&lt;"&amp;A7+1)/C7</f>
        <v>2.7322404371584699E-3</v>
      </c>
      <c r="I7" s="316">
        <f>表格1_5[[#This Row],[累計預估達成率]]-表格1_5[[#This Row],[累計實際達成率]]</f>
        <v>0.12021857923497267</v>
      </c>
      <c r="J7" s="311"/>
    </row>
    <row r="8" spans="1:10" ht="15" hidden="1" customHeight="1">
      <c r="A8" s="309">
        <v>44404</v>
      </c>
      <c r="B8" s="314">
        <f>表格1_5[[#This Row],[日期]]</f>
        <v>44404</v>
      </c>
      <c r="C8" s="315">
        <v>366</v>
      </c>
      <c r="D8" s="310">
        <f>COUNTIF(URS確認!K:K,"&lt;"&amp;A8+1)</f>
        <v>57</v>
      </c>
      <c r="E8" s="310">
        <f>COUNTIF(URS確認!M:M,"&lt;"&amp;A8+1)</f>
        <v>1</v>
      </c>
      <c r="F8" s="310">
        <f t="shared" si="0"/>
        <v>56</v>
      </c>
      <c r="G8" s="316">
        <f>COUNTIF(URS確認!K:K,"&lt;"&amp;A8+1)/C8</f>
        <v>0.15573770491803279</v>
      </c>
      <c r="H8" s="316">
        <f>COUNTIF(URS確認!M:M,"&lt;"&amp;A8+1)/C8</f>
        <v>2.7322404371584699E-3</v>
      </c>
      <c r="I8" s="316">
        <f>表格1_5[[#This Row],[累計預估達成率]]-表格1_5[[#This Row],[累計實際達成率]]</f>
        <v>0.15300546448087432</v>
      </c>
      <c r="J8" s="311"/>
    </row>
    <row r="9" spans="1:10" ht="15" hidden="1" customHeight="1">
      <c r="A9" s="309">
        <v>44405</v>
      </c>
      <c r="B9" s="314">
        <f>表格1_5[[#This Row],[日期]]</f>
        <v>44405</v>
      </c>
      <c r="C9" s="315">
        <v>368</v>
      </c>
      <c r="D9" s="310">
        <f>COUNTIF(URS確認!K:K,"&lt;"&amp;A9+1)</f>
        <v>57</v>
      </c>
      <c r="E9" s="310">
        <f>COUNTIF(URS確認!M:M,"&lt;"&amp;A9+1)</f>
        <v>2</v>
      </c>
      <c r="F9" s="310">
        <f t="shared" si="0"/>
        <v>55</v>
      </c>
      <c r="G9" s="316">
        <f>COUNTIF(URS確認!K:K,"&lt;"&amp;A9+1)/C9</f>
        <v>0.15489130434782608</v>
      </c>
      <c r="H9" s="316">
        <f>COUNTIF(URS確認!M:M,"&lt;"&amp;A9+1)/C9</f>
        <v>5.434782608695652E-3</v>
      </c>
      <c r="I9" s="316">
        <f>表格1_5[[#This Row],[累計預估達成率]]-表格1_5[[#This Row],[累計實際達成率]]</f>
        <v>0.14945652173913043</v>
      </c>
      <c r="J9" s="311"/>
    </row>
    <row r="10" spans="1:10" ht="15" hidden="1" customHeight="1">
      <c r="A10" s="309">
        <v>44406</v>
      </c>
      <c r="B10" s="314">
        <f>表格1_5[[#This Row],[日期]]</f>
        <v>44406</v>
      </c>
      <c r="C10" s="315">
        <v>368</v>
      </c>
      <c r="D10" s="310">
        <f>COUNTIF(URS確認!K:K,"&lt;"&amp;A10+1)</f>
        <v>57</v>
      </c>
      <c r="E10" s="310">
        <f>COUNTIF(URS確認!M:M,"&lt;"&amp;A10+1)</f>
        <v>2</v>
      </c>
      <c r="F10" s="310">
        <f t="shared" si="0"/>
        <v>55</v>
      </c>
      <c r="G10" s="316">
        <f>COUNTIF(URS確認!K:K,"&lt;"&amp;A10+1)/C10</f>
        <v>0.15489130434782608</v>
      </c>
      <c r="H10" s="316">
        <f>COUNTIF(URS確認!M:M,"&lt;"&amp;A10+1)/C10</f>
        <v>5.434782608695652E-3</v>
      </c>
      <c r="I10" s="316">
        <f>表格1_5[[#This Row],[累計預估達成率]]-表格1_5[[#This Row],[累計實際達成率]]</f>
        <v>0.14945652173913043</v>
      </c>
      <c r="J10" s="311"/>
    </row>
    <row r="11" spans="1:10" ht="15" customHeight="1">
      <c r="A11" s="48">
        <v>44407</v>
      </c>
      <c r="B11" s="335">
        <f>表格1_5[[#This Row],[日期]]</f>
        <v>44407</v>
      </c>
      <c r="C11" s="336">
        <v>368</v>
      </c>
      <c r="D11" s="83">
        <f>COUNTIF(URS確認!K:K,"&lt;"&amp;A11+1)</f>
        <v>57</v>
      </c>
      <c r="E11" s="83">
        <f>COUNTIF(URS確認!M:M,"&lt;"&amp;A11+1)</f>
        <v>6</v>
      </c>
      <c r="F11" s="83">
        <f t="shared" si="0"/>
        <v>51</v>
      </c>
      <c r="G11" s="337">
        <f>COUNTIF(URS確認!K:K,"&lt;"&amp;A11+1)/C11</f>
        <v>0.15489130434782608</v>
      </c>
      <c r="H11" s="337">
        <f>COUNTIF(URS確認!M:M,"&lt;"&amp;A11+1)/C11</f>
        <v>1.6304347826086956E-2</v>
      </c>
      <c r="I11" s="337">
        <f>表格1_5[[#This Row],[累計預估達成率]]-表格1_5[[#This Row],[累計實際達成率]]</f>
        <v>0.13858695652173914</v>
      </c>
      <c r="J11" s="311"/>
    </row>
    <row r="12" spans="1:10" ht="15" hidden="1" customHeight="1">
      <c r="A12" s="309">
        <v>44410</v>
      </c>
      <c r="B12" s="314">
        <f>表格1_5[[#This Row],[日期]]</f>
        <v>44410</v>
      </c>
      <c r="C12" s="315">
        <v>368</v>
      </c>
      <c r="D12" s="310">
        <f>COUNTIF(URS確認!K:K,"&lt;"&amp;A12+1)</f>
        <v>57</v>
      </c>
      <c r="E12" s="310">
        <f>COUNTIF(URS確認!M:M,"&lt;"&amp;A12+1)</f>
        <v>7</v>
      </c>
      <c r="F12" s="310">
        <f t="shared" si="0"/>
        <v>50</v>
      </c>
      <c r="G12" s="316">
        <f>COUNTIF(URS確認!K:K,"&lt;"&amp;A12+1)/C12</f>
        <v>0.15489130434782608</v>
      </c>
      <c r="H12" s="316">
        <f>COUNTIF(URS確認!M:M,"&lt;"&amp;A12+1)/C12</f>
        <v>1.9021739130434784E-2</v>
      </c>
      <c r="I12" s="316">
        <f>表格1_5[[#This Row],[累計預估達成率]]-表格1_5[[#This Row],[累計實際達成率]]</f>
        <v>0.1358695652173913</v>
      </c>
    </row>
    <row r="13" spans="1:10" ht="15" hidden="1" customHeight="1">
      <c r="A13" s="309">
        <v>44411</v>
      </c>
      <c r="B13" s="314">
        <f>表格1_5[[#This Row],[日期]]</f>
        <v>44411</v>
      </c>
      <c r="C13" s="315">
        <v>368</v>
      </c>
      <c r="D13" s="310">
        <f>COUNTIF(URS確認!K:K,"&lt;"&amp;A13+1)</f>
        <v>57</v>
      </c>
      <c r="E13" s="310">
        <f>COUNTIF(URS確認!M:M,"&lt;"&amp;A13+1)</f>
        <v>7</v>
      </c>
      <c r="F13" s="310">
        <f t="shared" si="0"/>
        <v>50</v>
      </c>
      <c r="G13" s="316">
        <f>COUNTIF(URS確認!K:K,"&lt;"&amp;A13+1)/C13</f>
        <v>0.15489130434782608</v>
      </c>
      <c r="H13" s="316">
        <f>COUNTIF(URS確認!M:M,"&lt;"&amp;A13+1)/C13</f>
        <v>1.9021739130434784E-2</v>
      </c>
      <c r="I13" s="316">
        <f>表格1_5[[#This Row],[累計預估達成率]]-表格1_5[[#This Row],[累計實際達成率]]</f>
        <v>0.1358695652173913</v>
      </c>
    </row>
    <row r="14" spans="1:10" ht="15" hidden="1" customHeight="1">
      <c r="A14" s="309">
        <v>44412</v>
      </c>
      <c r="B14" s="314">
        <f>表格1_5[[#This Row],[日期]]</f>
        <v>44412</v>
      </c>
      <c r="C14" s="315">
        <v>368</v>
      </c>
      <c r="D14" s="310">
        <f>COUNTIF(URS確認!K:K,"&lt;"&amp;A14+1)</f>
        <v>57</v>
      </c>
      <c r="E14" s="310">
        <f>COUNTIF(URS確認!M:M,"&lt;"&amp;A14+1)</f>
        <v>8</v>
      </c>
      <c r="F14" s="310">
        <f t="shared" si="0"/>
        <v>49</v>
      </c>
      <c r="G14" s="316">
        <f>COUNTIF(URS確認!K:K,"&lt;"&amp;A14+1)/C14</f>
        <v>0.15489130434782608</v>
      </c>
      <c r="H14" s="316">
        <f>COUNTIF(URS確認!M:M,"&lt;"&amp;A14+1)/C14</f>
        <v>2.1739130434782608E-2</v>
      </c>
      <c r="I14" s="316">
        <f>表格1_5[[#This Row],[累計預估達成率]]-表格1_5[[#This Row],[累計實際達成率]]</f>
        <v>0.13315217391304346</v>
      </c>
    </row>
    <row r="15" spans="1:10" ht="15" hidden="1" customHeight="1">
      <c r="A15" s="309">
        <v>44413</v>
      </c>
      <c r="B15" s="314">
        <f>表格1_5[[#This Row],[日期]]</f>
        <v>44413</v>
      </c>
      <c r="C15" s="315">
        <v>368</v>
      </c>
      <c r="D15" s="310">
        <f>COUNTIF(URS確認!K:K,"&lt;"&amp;A15+1)</f>
        <v>57</v>
      </c>
      <c r="E15" s="310">
        <f>COUNTIF(URS確認!M:M,"&lt;"&amp;A15+1)</f>
        <v>8</v>
      </c>
      <c r="F15" s="310">
        <f t="shared" si="0"/>
        <v>49</v>
      </c>
      <c r="G15" s="316">
        <f>COUNTIF(URS確認!K:K,"&lt;"&amp;A15+1)/C15</f>
        <v>0.15489130434782608</v>
      </c>
      <c r="H15" s="316">
        <f>COUNTIF(URS確認!M:M,"&lt;"&amp;A15+1)/C15</f>
        <v>2.1739130434782608E-2</v>
      </c>
      <c r="I15" s="316">
        <f>表格1_5[[#This Row],[累計預估達成率]]-表格1_5[[#This Row],[累計實際達成率]]</f>
        <v>0.13315217391304346</v>
      </c>
    </row>
    <row r="16" spans="1:10" ht="15" customHeight="1">
      <c r="A16" s="48">
        <v>44414</v>
      </c>
      <c r="B16" s="335">
        <f>表格1_5[[#This Row],[日期]]</f>
        <v>44414</v>
      </c>
      <c r="C16" s="336">
        <v>368</v>
      </c>
      <c r="D16" s="83">
        <f>COUNTIF(URS確認!K:K,"&lt;"&amp;A16+1)</f>
        <v>57</v>
      </c>
      <c r="E16" s="83">
        <f>COUNTIF(URS確認!M:M,"&lt;"&amp;A16+1)</f>
        <v>8</v>
      </c>
      <c r="F16" s="83">
        <f t="shared" si="0"/>
        <v>49</v>
      </c>
      <c r="G16" s="337">
        <f>COUNTIF(URS確認!K:K,"&lt;"&amp;A16+1)/C16</f>
        <v>0.15489130434782608</v>
      </c>
      <c r="H16" s="337">
        <f>COUNTIF(URS確認!M:M,"&lt;"&amp;A16+1)/C16</f>
        <v>2.1739130434782608E-2</v>
      </c>
      <c r="I16" s="337">
        <f>表格1_5[[#This Row],[累計預估達成率]]-表格1_5[[#This Row],[累計實際達成率]]</f>
        <v>0.13315217391304346</v>
      </c>
    </row>
    <row r="17" spans="1:9" ht="15" hidden="1" customHeight="1">
      <c r="A17" s="309">
        <v>44417</v>
      </c>
      <c r="B17" s="314">
        <f>表格1_5[[#This Row],[日期]]</f>
        <v>44417</v>
      </c>
      <c r="C17" s="315">
        <v>368</v>
      </c>
      <c r="D17" s="310">
        <f>COUNTIF(URS確認!K:K,"&lt;"&amp;A17+1)</f>
        <v>57</v>
      </c>
      <c r="E17" s="310">
        <f>COUNTIF(URS確認!M:M,"&lt;"&amp;A17+1)</f>
        <v>8</v>
      </c>
      <c r="F17" s="310">
        <f t="shared" si="0"/>
        <v>49</v>
      </c>
      <c r="G17" s="316">
        <f>COUNTIF(URS確認!K:K,"&lt;"&amp;A17+1)/C17</f>
        <v>0.15489130434782608</v>
      </c>
      <c r="H17" s="316">
        <f>COUNTIF(URS確認!M:M,"&lt;"&amp;A17+1)/C17</f>
        <v>2.1739130434782608E-2</v>
      </c>
      <c r="I17" s="316">
        <f>表格1_5[[#This Row],[累計預估達成率]]-表格1_5[[#This Row],[累計實際達成率]]</f>
        <v>0.13315217391304346</v>
      </c>
    </row>
    <row r="18" spans="1:9" ht="15" hidden="1" customHeight="1">
      <c r="A18" s="309">
        <v>44418</v>
      </c>
      <c r="B18" s="314">
        <f>表格1_5[[#This Row],[日期]]</f>
        <v>44418</v>
      </c>
      <c r="C18" s="315">
        <v>368</v>
      </c>
      <c r="D18" s="310">
        <f>COUNTIF(URS確認!K:K,"&lt;"&amp;A18+1)</f>
        <v>57</v>
      </c>
      <c r="E18" s="310">
        <f>COUNTIF(URS確認!M:M,"&lt;"&amp;A18+1)</f>
        <v>8</v>
      </c>
      <c r="F18" s="310">
        <f t="shared" si="0"/>
        <v>49</v>
      </c>
      <c r="G18" s="316">
        <f>COUNTIF(URS確認!K:K,"&lt;"&amp;A18+1)/C18</f>
        <v>0.15489130434782608</v>
      </c>
      <c r="H18" s="316">
        <f>COUNTIF(URS確認!M:M,"&lt;"&amp;A18+1)/C18</f>
        <v>2.1739130434782608E-2</v>
      </c>
      <c r="I18" s="316">
        <f>表格1_5[[#This Row],[累計預估達成率]]-表格1_5[[#This Row],[累計實際達成率]]</f>
        <v>0.13315217391304346</v>
      </c>
    </row>
    <row r="19" spans="1:9" ht="15" hidden="1" customHeight="1">
      <c r="A19" s="309">
        <v>44419</v>
      </c>
      <c r="B19" s="314">
        <f>表格1_5[[#This Row],[日期]]</f>
        <v>44419</v>
      </c>
      <c r="C19" s="315">
        <v>368</v>
      </c>
      <c r="D19" s="310">
        <f>COUNTIF(URS確認!K:K,"&lt;"&amp;A19+1)</f>
        <v>57</v>
      </c>
      <c r="E19" s="310">
        <f>COUNTIF(URS確認!M:M,"&lt;"&amp;A19+1)</f>
        <v>8</v>
      </c>
      <c r="F19" s="310">
        <f t="shared" si="0"/>
        <v>49</v>
      </c>
      <c r="G19" s="316">
        <f>COUNTIF(URS確認!K:K,"&lt;"&amp;A19+1)/C19</f>
        <v>0.15489130434782608</v>
      </c>
      <c r="H19" s="316">
        <f>COUNTIF(URS確認!M:M,"&lt;"&amp;A19+1)/C19</f>
        <v>2.1739130434782608E-2</v>
      </c>
      <c r="I19" s="316">
        <f>表格1_5[[#This Row],[累計預估達成率]]-表格1_5[[#This Row],[累計實際達成率]]</f>
        <v>0.13315217391304346</v>
      </c>
    </row>
    <row r="20" spans="1:9" ht="15" hidden="1" customHeight="1">
      <c r="A20" s="309">
        <v>44420</v>
      </c>
      <c r="B20" s="314">
        <f>表格1_5[[#This Row],[日期]]</f>
        <v>44420</v>
      </c>
      <c r="C20" s="315">
        <v>368</v>
      </c>
      <c r="D20" s="310">
        <f>COUNTIF(URS確認!K:K,"&lt;"&amp;A20+1)</f>
        <v>57</v>
      </c>
      <c r="E20" s="310">
        <f>COUNTIF(URS確認!M:M,"&lt;"&amp;A20+1)</f>
        <v>8</v>
      </c>
      <c r="F20" s="310">
        <f t="shared" si="0"/>
        <v>49</v>
      </c>
      <c r="G20" s="316">
        <f>COUNTIF(URS確認!K:K,"&lt;"&amp;A20+1)/C20</f>
        <v>0.15489130434782608</v>
      </c>
      <c r="H20" s="316">
        <f>COUNTIF(URS確認!M:M,"&lt;"&amp;A20+1)/C20</f>
        <v>2.1739130434782608E-2</v>
      </c>
      <c r="I20" s="316">
        <f>表格1_5[[#This Row],[累計預估達成率]]-表格1_5[[#This Row],[累計實際達成率]]</f>
        <v>0.13315217391304346</v>
      </c>
    </row>
    <row r="21" spans="1:9" ht="15" customHeight="1">
      <c r="A21" s="48">
        <v>44421</v>
      </c>
      <c r="B21" s="335">
        <f>表格1_5[[#This Row],[日期]]</f>
        <v>44421</v>
      </c>
      <c r="C21" s="336">
        <v>368</v>
      </c>
      <c r="D21" s="83">
        <f>COUNTIF(URS確認!K:K,"&lt;"&amp;A21+1)</f>
        <v>57</v>
      </c>
      <c r="E21" s="83">
        <f>COUNTIF(URS確認!M:M,"&lt;"&amp;A21+1)</f>
        <v>8</v>
      </c>
      <c r="F21" s="83">
        <f t="shared" si="0"/>
        <v>49</v>
      </c>
      <c r="G21" s="337">
        <f>COUNTIF(URS確認!K:K,"&lt;"&amp;A21+1)/C21</f>
        <v>0.15489130434782608</v>
      </c>
      <c r="H21" s="337">
        <f>COUNTIF(URS確認!M:M,"&lt;"&amp;A21+1)/C21</f>
        <v>2.1739130434782608E-2</v>
      </c>
      <c r="I21" s="337">
        <f>表格1_5[[#This Row],[累計預估達成率]]-表格1_5[[#This Row],[累計實際達成率]]</f>
        <v>0.13315217391304346</v>
      </c>
    </row>
    <row r="22" spans="1:9" ht="15" hidden="1" customHeight="1">
      <c r="A22" s="106">
        <v>44424</v>
      </c>
      <c r="B22" s="338">
        <f>表格1_5[[#This Row],[日期]]</f>
        <v>44424</v>
      </c>
      <c r="C22" s="339">
        <f>COUNTA(URS確認!E:E)-1</f>
        <v>522</v>
      </c>
      <c r="D22" s="107">
        <f>COUNTIF(URS確認!K:K,"&lt;"&amp;A22+1)</f>
        <v>57</v>
      </c>
      <c r="E22" s="107">
        <f>COUNTIF(URS確認!M:M,"&lt;"&amp;A22+1)</f>
        <v>9</v>
      </c>
      <c r="F22" s="107">
        <f t="shared" si="0"/>
        <v>48</v>
      </c>
      <c r="G22" s="384">
        <f>COUNTIF(URS確認!K:K,"&lt;"&amp;A22+1)/C22</f>
        <v>0.10919540229885058</v>
      </c>
      <c r="H22" s="384">
        <f>COUNTIF(URS確認!M:M,"&lt;"&amp;A22+1)/C22</f>
        <v>1.7241379310344827E-2</v>
      </c>
      <c r="I22" s="384">
        <f>表格1_5[[#This Row],[累計預估達成率]]-表格1_5[[#This Row],[累計實際達成率]]</f>
        <v>9.1954022988505746E-2</v>
      </c>
    </row>
    <row r="23" spans="1:9" ht="15" hidden="1" customHeight="1">
      <c r="A23" s="109">
        <v>44425</v>
      </c>
      <c r="B23" s="340">
        <f>表格1_5[[#This Row],[日期]]</f>
        <v>44425</v>
      </c>
      <c r="C23" s="341">
        <f>COUNTA(URS確認!E:E)-1</f>
        <v>522</v>
      </c>
      <c r="D23" s="110">
        <f>COUNTIF(URS確認!K:K,"&lt;"&amp;A23+1)</f>
        <v>57</v>
      </c>
      <c r="E23" s="110">
        <f>COUNTIF(URS確認!M:M,"&lt;"&amp;A23+1)</f>
        <v>9</v>
      </c>
      <c r="F23" s="110">
        <f t="shared" si="0"/>
        <v>48</v>
      </c>
      <c r="G23" s="385">
        <f>COUNTIF(URS確認!K:K,"&lt;"&amp;A23+1)/C23</f>
        <v>0.10919540229885058</v>
      </c>
      <c r="H23" s="385">
        <f>COUNTIF(URS確認!M:M,"&lt;"&amp;A23+1)/C23</f>
        <v>1.7241379310344827E-2</v>
      </c>
      <c r="I23" s="385">
        <f>表格1_5[[#This Row],[累計預估達成率]]-表格1_5[[#This Row],[累計實際達成率]]</f>
        <v>9.1954022988505746E-2</v>
      </c>
    </row>
    <row r="24" spans="1:9" ht="15" hidden="1" customHeight="1">
      <c r="A24" s="109">
        <v>44426</v>
      </c>
      <c r="B24" s="340">
        <f>表格1_5[[#This Row],[日期]]</f>
        <v>44426</v>
      </c>
      <c r="C24" s="341">
        <f>COUNTA(URS確認!E:E)-1</f>
        <v>522</v>
      </c>
      <c r="D24" s="110">
        <f>COUNTIF(URS確認!K:K,"&lt;"&amp;A24+1)</f>
        <v>57</v>
      </c>
      <c r="E24" s="110">
        <f>COUNTIF(URS確認!M:M,"&lt;"&amp;A24+1)</f>
        <v>9</v>
      </c>
      <c r="F24" s="110">
        <f t="shared" si="0"/>
        <v>48</v>
      </c>
      <c r="G24" s="385">
        <f>COUNTIF(URS確認!K:K,"&lt;"&amp;A24+1)/C24</f>
        <v>0.10919540229885058</v>
      </c>
      <c r="H24" s="385">
        <f>COUNTIF(URS確認!M:M,"&lt;"&amp;A24+1)/C24</f>
        <v>1.7241379310344827E-2</v>
      </c>
      <c r="I24" s="385">
        <f>表格1_5[[#This Row],[累計預估達成率]]-表格1_5[[#This Row],[累計實際達成率]]</f>
        <v>9.1954022988505746E-2</v>
      </c>
    </row>
    <row r="25" spans="1:9" ht="15" hidden="1" customHeight="1">
      <c r="A25" s="106">
        <v>44427</v>
      </c>
      <c r="B25" s="342">
        <f>表格1_5[[#This Row],[日期]]</f>
        <v>44427</v>
      </c>
      <c r="C25" s="343">
        <f>COUNTA(URS確認!E:E)-1</f>
        <v>522</v>
      </c>
      <c r="D25" s="115">
        <f>COUNTIF(URS確認!K:K,"&lt;"&amp;A25+1)</f>
        <v>57</v>
      </c>
      <c r="E25" s="115">
        <f>COUNTIF(URS確認!M:M,"&lt;"&amp;A25+1)</f>
        <v>9</v>
      </c>
      <c r="F25" s="115">
        <f t="shared" si="0"/>
        <v>48</v>
      </c>
      <c r="G25" s="386">
        <f>COUNTIF(URS確認!K:K,"&lt;"&amp;A25+1)/C25</f>
        <v>0.10919540229885058</v>
      </c>
      <c r="H25" s="386">
        <f>COUNTIF(URS確認!M:M,"&lt;"&amp;A25+1)/C25</f>
        <v>1.7241379310344827E-2</v>
      </c>
      <c r="I25" s="386">
        <f>表格1_5[[#This Row],[累計預估達成率]]-表格1_5[[#This Row],[累計實際達成率]]</f>
        <v>9.1954022988505746E-2</v>
      </c>
    </row>
    <row r="26" spans="1:9" ht="15" customHeight="1">
      <c r="A26" s="116">
        <v>44428</v>
      </c>
      <c r="B26" s="344">
        <f>表格1_5[[#This Row],[日期]]</f>
        <v>44428</v>
      </c>
      <c r="C26" s="345">
        <f>COUNTA(URS確認!E:E)-1-112-13</f>
        <v>397</v>
      </c>
      <c r="D26" s="117">
        <f>COUNTIF(URS確認!K:K,"&lt;"&amp;A26+1)</f>
        <v>57</v>
      </c>
      <c r="E26" s="117">
        <f>COUNTIF(URS確認!M:M,"&lt;"&amp;A26+1)</f>
        <v>22</v>
      </c>
      <c r="F26" s="117">
        <f t="shared" si="0"/>
        <v>35</v>
      </c>
      <c r="G26" s="387">
        <f>COUNTIF(URS確認!K:K,"&lt;"&amp;A26+1)/C26</f>
        <v>0.14357682619647355</v>
      </c>
      <c r="H26" s="387">
        <f>COUNTIF(URS確認!M:M,"&lt;"&amp;A26+1)/C26</f>
        <v>5.5415617128463476E-2</v>
      </c>
      <c r="I26" s="387">
        <f>表格1_5[[#This Row],[累計預估達成率]]-表格1_5[[#This Row],[累計實際達成率]]</f>
        <v>8.8161209068010074E-2</v>
      </c>
    </row>
    <row r="27" spans="1:9" ht="15" hidden="1" customHeight="1">
      <c r="A27" s="114">
        <v>44431</v>
      </c>
      <c r="B27" s="342">
        <f>表格1_5[[#This Row],[日期]]</f>
        <v>44431</v>
      </c>
      <c r="C27" s="345">
        <f>COUNTA(URS確認!E:E)-1-112-13</f>
        <v>397</v>
      </c>
      <c r="D27" s="115">
        <f>COUNTIF(URS確認!K:K,"&lt;"&amp;A27+1)</f>
        <v>66</v>
      </c>
      <c r="E27" s="115">
        <f>COUNTIF(URS確認!M:M,"&lt;"&amp;A27+1)</f>
        <v>28</v>
      </c>
      <c r="F27" s="115">
        <f t="shared" si="0"/>
        <v>38</v>
      </c>
      <c r="G27" s="386">
        <f>COUNTIF(URS確認!K:K,"&lt;"&amp;A27+1)/C27</f>
        <v>0.16624685138539042</v>
      </c>
      <c r="H27" s="386">
        <f>COUNTIF(URS確認!M:M,"&lt;"&amp;A27+1)/C27</f>
        <v>7.0528967254408062E-2</v>
      </c>
      <c r="I27" s="386">
        <f>表格1_5[[#This Row],[累計預估達成率]]-表格1_5[[#This Row],[累計實際達成率]]</f>
        <v>9.5717884130982353E-2</v>
      </c>
    </row>
    <row r="28" spans="1:9" ht="15" hidden="1" customHeight="1">
      <c r="A28" s="114">
        <v>44432</v>
      </c>
      <c r="B28" s="314">
        <f>表格1_5[[#This Row],[日期]]</f>
        <v>44432</v>
      </c>
      <c r="C28" s="345">
        <f>COUNTA(URS確認!E:E)-1-112-13</f>
        <v>397</v>
      </c>
      <c r="D28" s="310">
        <f>COUNTIF(URS確認!K:K,"&lt;"&amp;A28+1)</f>
        <v>72</v>
      </c>
      <c r="E28" s="310">
        <f>COUNTIF(URS確認!M:M,"&lt;"&amp;A28+1)</f>
        <v>29</v>
      </c>
      <c r="F28" s="310">
        <f t="shared" si="0"/>
        <v>43</v>
      </c>
      <c r="G28" s="316">
        <f>COUNTIF(URS確認!K:K,"&lt;"&amp;A28+1)/C28</f>
        <v>0.181360201511335</v>
      </c>
      <c r="H28" s="316">
        <f>COUNTIF(URS確認!M:M,"&lt;"&amp;A28+1)/C28</f>
        <v>7.3047858942065488E-2</v>
      </c>
      <c r="I28" s="316">
        <f>表格1_5[[#This Row],[累計預估達成率]]-表格1_5[[#This Row],[累計實際達成率]]</f>
        <v>0.10831234256926951</v>
      </c>
    </row>
    <row r="29" spans="1:9" ht="15" hidden="1" customHeight="1">
      <c r="A29" s="114">
        <v>44433</v>
      </c>
      <c r="B29" s="314">
        <f>表格1_5[[#This Row],[日期]]</f>
        <v>44433</v>
      </c>
      <c r="C29" s="345">
        <f>COUNTA(URS確認!E:E)-1-112-13</f>
        <v>397</v>
      </c>
      <c r="D29" s="310">
        <f>COUNTIF(URS確認!K:K,"&lt;"&amp;A29+1)</f>
        <v>76</v>
      </c>
      <c r="E29" s="310">
        <f>COUNTIF(URS確認!M:M,"&lt;"&amp;A29+1)</f>
        <v>29</v>
      </c>
      <c r="F29" s="310">
        <f t="shared" si="0"/>
        <v>47</v>
      </c>
      <c r="G29" s="316">
        <f>COUNTIF(URS確認!K:K,"&lt;"&amp;A29+1)/C29</f>
        <v>0.19143576826196473</v>
      </c>
      <c r="H29" s="316">
        <f>COUNTIF(URS確認!M:M,"&lt;"&amp;A29+1)/C29</f>
        <v>7.3047858942065488E-2</v>
      </c>
      <c r="I29" s="316">
        <f>表格1_5[[#This Row],[累計預估達成率]]-表格1_5[[#This Row],[累計實際達成率]]</f>
        <v>0.11838790931989925</v>
      </c>
    </row>
    <row r="30" spans="1:9" ht="15" hidden="1" customHeight="1">
      <c r="A30" s="114">
        <v>44434</v>
      </c>
      <c r="B30" s="314">
        <f>表格1_5[[#This Row],[日期]]</f>
        <v>44434</v>
      </c>
      <c r="C30" s="345">
        <f>COUNTA(URS確認!E:E)-1-112-13</f>
        <v>397</v>
      </c>
      <c r="D30" s="310">
        <f>COUNTIF(URS確認!K:K,"&lt;"&amp;A30+1)</f>
        <v>80</v>
      </c>
      <c r="E30" s="310">
        <f>COUNTIF(URS確認!M:M,"&lt;"&amp;A30+1)</f>
        <v>30</v>
      </c>
      <c r="F30" s="310">
        <f t="shared" si="0"/>
        <v>50</v>
      </c>
      <c r="G30" s="316">
        <f>COUNTIF(URS確認!K:K,"&lt;"&amp;A30+1)/C30</f>
        <v>0.20151133501259447</v>
      </c>
      <c r="H30" s="316">
        <f>COUNTIF(URS確認!M:M,"&lt;"&amp;A30+1)/C30</f>
        <v>7.5566750629722929E-2</v>
      </c>
      <c r="I30" s="316">
        <f>表格1_5[[#This Row],[累計預估達成率]]-表格1_5[[#This Row],[累計實際達成率]]</f>
        <v>0.12594458438287154</v>
      </c>
    </row>
    <row r="31" spans="1:9" ht="15" customHeight="1">
      <c r="A31" s="118">
        <v>44435</v>
      </c>
      <c r="B31" s="335">
        <f>表格1_5[[#This Row],[日期]]</f>
        <v>44435</v>
      </c>
      <c r="C31" s="345">
        <f>COUNTA(URS確認!E:E)-1-112-13</f>
        <v>397</v>
      </c>
      <c r="D31" s="83">
        <f>COUNTIF(URS確認!K:K,"&lt;"&amp;A31+1)</f>
        <v>84</v>
      </c>
      <c r="E31" s="83">
        <f>COUNTIF(URS確認!M:M,"&lt;"&amp;A31+1)</f>
        <v>32</v>
      </c>
      <c r="F31" s="83">
        <f t="shared" si="0"/>
        <v>52</v>
      </c>
      <c r="G31" s="337">
        <f>COUNTIF(URS確認!K:K,"&lt;"&amp;A31+1)/C31</f>
        <v>0.21158690176322417</v>
      </c>
      <c r="H31" s="337">
        <f>COUNTIF(URS確認!M:M,"&lt;"&amp;A31+1)/C31</f>
        <v>8.0604534005037781E-2</v>
      </c>
      <c r="I31" s="337">
        <f>表格1_5[[#This Row],[累計預估達成率]]-表格1_5[[#This Row],[累計實際達成率]]</f>
        <v>0.13098236775818639</v>
      </c>
    </row>
    <row r="32" spans="1:9" ht="15" hidden="1" customHeight="1">
      <c r="A32" s="130">
        <v>44438</v>
      </c>
      <c r="B32" s="346">
        <f>表格1_5[[#This Row],[日期]]</f>
        <v>44438</v>
      </c>
      <c r="C32" s="345">
        <f>COUNTA(URS確認!E:E)-1-112-13</f>
        <v>397</v>
      </c>
      <c r="D32" s="131">
        <f>COUNTIF(URS確認!K:K,"&lt;"&amp;A32+1)</f>
        <v>89</v>
      </c>
      <c r="E32" s="131">
        <f>COUNTIF(URS確認!M:M,"&lt;"&amp;A32+1)</f>
        <v>32</v>
      </c>
      <c r="F32" s="131">
        <f t="shared" si="0"/>
        <v>57</v>
      </c>
      <c r="G32" s="388">
        <f>COUNTIF(URS確認!K:K,"&lt;"&amp;A32+1)/C32</f>
        <v>0.22418136020151133</v>
      </c>
      <c r="H32" s="388">
        <f>COUNTIF(URS確認!M:M,"&lt;"&amp;A32+1)/C32</f>
        <v>8.0604534005037781E-2</v>
      </c>
      <c r="I32" s="388">
        <f>表格1_5[[#This Row],[累計預估達成率]]-表格1_5[[#This Row],[累計實際達成率]]</f>
        <v>0.14357682619647355</v>
      </c>
    </row>
    <row r="33" spans="1:9" ht="15" hidden="1" customHeight="1">
      <c r="A33" s="309">
        <v>44439</v>
      </c>
      <c r="B33" s="314">
        <f>表格1_5[[#This Row],[日期]]</f>
        <v>44439</v>
      </c>
      <c r="C33" s="345">
        <f>COUNTA(URS確認!E:E)-1-112-13</f>
        <v>397</v>
      </c>
      <c r="D33" s="310">
        <f>COUNTIF(URS確認!K:K,"&lt;"&amp;A33+1)</f>
        <v>93</v>
      </c>
      <c r="E33" s="310">
        <f>COUNTIF(URS確認!M:M,"&lt;"&amp;A33+1)</f>
        <v>32</v>
      </c>
      <c r="F33" s="310">
        <f t="shared" si="0"/>
        <v>61</v>
      </c>
      <c r="G33" s="316">
        <f>COUNTIF(URS確認!K:K,"&lt;"&amp;A33+1)/C33</f>
        <v>0.23425692695214106</v>
      </c>
      <c r="H33" s="316">
        <f>COUNTIF(URS確認!M:M,"&lt;"&amp;A33+1)/C33</f>
        <v>8.0604534005037781E-2</v>
      </c>
      <c r="I33" s="316">
        <f>表格1_5[[#This Row],[累計預估達成率]]-表格1_5[[#This Row],[累計實際達成率]]</f>
        <v>0.15365239294710328</v>
      </c>
    </row>
    <row r="34" spans="1:9" ht="15" hidden="1" customHeight="1">
      <c r="A34" s="309">
        <v>44440</v>
      </c>
      <c r="B34" s="314">
        <f>表格1_5[[#This Row],[日期]]</f>
        <v>44440</v>
      </c>
      <c r="C34" s="345">
        <f>COUNTA(URS確認!E:E)-1-112-13</f>
        <v>397</v>
      </c>
      <c r="D34" s="310">
        <f>COUNTIF(URS確認!K:K,"&lt;"&amp;A34+1)</f>
        <v>96</v>
      </c>
      <c r="E34" s="310">
        <f>COUNTIF(URS確認!M:M,"&lt;"&amp;A34+1)</f>
        <v>32</v>
      </c>
      <c r="F34" s="310">
        <f t="shared" si="0"/>
        <v>64</v>
      </c>
      <c r="G34" s="316">
        <f>COUNTIF(URS確認!K:K,"&lt;"&amp;A34+1)/C34</f>
        <v>0.24181360201511334</v>
      </c>
      <c r="H34" s="316">
        <f>COUNTIF(URS確認!M:M,"&lt;"&amp;A34+1)/C34</f>
        <v>8.0604534005037781E-2</v>
      </c>
      <c r="I34" s="316">
        <f>表格1_5[[#This Row],[累計預估達成率]]-表格1_5[[#This Row],[累計實際達成率]]</f>
        <v>0.16120906801007556</v>
      </c>
    </row>
    <row r="35" spans="1:9" ht="15" hidden="1" customHeight="1">
      <c r="A35" s="309">
        <v>44441</v>
      </c>
      <c r="B35" s="347">
        <f>表格1_5[[#This Row],[日期]]</f>
        <v>44441</v>
      </c>
      <c r="C35" s="345">
        <f>COUNTA(URS確認!E:E)-1-112-13</f>
        <v>397</v>
      </c>
      <c r="D35" s="132">
        <f>COUNTIF(URS確認!K:K,"&lt;"&amp;A35+1)</f>
        <v>101</v>
      </c>
      <c r="E35" s="132">
        <f>COUNTIF(URS確認!M:M,"&lt;"&amp;A35+1)</f>
        <v>34</v>
      </c>
      <c r="F35" s="132">
        <f t="shared" si="0"/>
        <v>67</v>
      </c>
      <c r="G35" s="389">
        <f>COUNTIF(URS確認!K:K,"&lt;"&amp;A35+1)/C35</f>
        <v>0.25440806045340053</v>
      </c>
      <c r="H35" s="389">
        <f>COUNTIF(URS確認!M:M,"&lt;"&amp;A35+1)/C35</f>
        <v>8.5642317380352648E-2</v>
      </c>
      <c r="I35" s="389">
        <f>表格1_5[[#This Row],[累計預估達成率]]-表格1_5[[#This Row],[累計實際達成率]]</f>
        <v>0.16876574307304787</v>
      </c>
    </row>
    <row r="36" spans="1:9" ht="15" customHeight="1">
      <c r="A36" s="48">
        <v>44442</v>
      </c>
      <c r="B36" s="348">
        <f>表格1_5[[#This Row],[日期]]</f>
        <v>44442</v>
      </c>
      <c r="C36" s="345">
        <f>COUNTA(URS確認!E:E)-1-112-13</f>
        <v>397</v>
      </c>
      <c r="D36" s="133">
        <f>COUNTIF(URS確認!K:K,"&lt;"&amp;A36+1)</f>
        <v>106</v>
      </c>
      <c r="E36" s="133">
        <f>COUNTIF(URS確認!M:M,"&lt;"&amp;A36+1)</f>
        <v>34</v>
      </c>
      <c r="F36" s="133">
        <f t="shared" si="0"/>
        <v>72</v>
      </c>
      <c r="G36" s="390">
        <f>COUNTIF(URS確認!K:K,"&lt;"&amp;A36+1)/C36</f>
        <v>0.26700251889168763</v>
      </c>
      <c r="H36" s="390">
        <f>COUNTIF(URS確認!M:M,"&lt;"&amp;A36+1)/C36</f>
        <v>8.5642317380352648E-2</v>
      </c>
      <c r="I36" s="390">
        <f>表格1_5[[#This Row],[累計預估達成率]]-表格1_5[[#This Row],[累計實際達成率]]</f>
        <v>0.18136020151133497</v>
      </c>
    </row>
    <row r="37" spans="1:9" ht="15" customHeight="1">
      <c r="A37" s="143">
        <v>44449</v>
      </c>
      <c r="B37" s="349">
        <f>表格1_5[[#This Row],[日期]]</f>
        <v>44449</v>
      </c>
      <c r="C37" s="345">
        <f>COUNTA(URS確認!E:E)-1-112-13</f>
        <v>397</v>
      </c>
      <c r="D37" s="144">
        <f>COUNTIF(URS確認!K:K,"&lt;"&amp;A37+1)</f>
        <v>117</v>
      </c>
      <c r="E37" s="144">
        <f>COUNTIF(URS確認!M:M,"&lt;"&amp;A37+1)</f>
        <v>39</v>
      </c>
      <c r="F37" s="144">
        <f t="shared" si="0"/>
        <v>78</v>
      </c>
      <c r="G37" s="391">
        <f>COUNTIF(URS確認!K:K,"&lt;"&amp;A37+1)/C37</f>
        <v>0.29471032745591941</v>
      </c>
      <c r="H37" s="391">
        <f>COUNTIF(URS確認!M:M,"&lt;"&amp;A37+1)/C37</f>
        <v>9.8236775818639793E-2</v>
      </c>
      <c r="I37" s="391">
        <f>表格1_5[[#This Row],[累計預估達成率]]-表格1_5[[#This Row],[累計實際達成率]]</f>
        <v>0.19647355163727961</v>
      </c>
    </row>
    <row r="38" spans="1:9" ht="15" customHeight="1">
      <c r="A38" s="143">
        <v>44456</v>
      </c>
      <c r="B38" s="349">
        <f>表格1_5[[#This Row],[日期]]</f>
        <v>44456</v>
      </c>
      <c r="C38" s="345">
        <f>COUNTA(URS確認!E:E)-1-112-13</f>
        <v>397</v>
      </c>
      <c r="D38" s="144">
        <f>COUNTIF(URS確認!K:K,"&lt;"&amp;A38+1)</f>
        <v>144</v>
      </c>
      <c r="E38" s="144">
        <f>COUNTIF(URS確認!M:M,"&lt;"&amp;A38+1)</f>
        <v>42</v>
      </c>
      <c r="F38" s="144">
        <f t="shared" si="0"/>
        <v>102</v>
      </c>
      <c r="G38" s="391">
        <f>COUNTIF(URS確認!K:K,"&lt;"&amp;A38+1)/C38</f>
        <v>0.36272040302267</v>
      </c>
      <c r="H38" s="391">
        <f>COUNTIF(URS確認!M:M,"&lt;"&amp;A38+1)/C38</f>
        <v>0.10579345088161209</v>
      </c>
      <c r="I38" s="391">
        <f>表格1_5[[#This Row],[累計預估達成率]]-表格1_5[[#This Row],[累計實際達成率]]</f>
        <v>0.25692695214105793</v>
      </c>
    </row>
    <row r="39" spans="1:9" ht="15" customHeight="1">
      <c r="A39" s="48">
        <v>44463</v>
      </c>
      <c r="B39" s="335">
        <f>表格1_5[[#This Row],[日期]]</f>
        <v>44463</v>
      </c>
      <c r="C39" s="345">
        <f>COUNTA(URS確認!E:E)-1-112-13</f>
        <v>397</v>
      </c>
      <c r="D39" s="83">
        <f>COUNTIF(URS確認!K:K,"&lt;"&amp;A39+1)</f>
        <v>161</v>
      </c>
      <c r="E39" s="83">
        <f>COUNTIF(URS確認!M:M,"&lt;"&amp;A39+1)</f>
        <v>47</v>
      </c>
      <c r="F39" s="83">
        <f t="shared" si="0"/>
        <v>114</v>
      </c>
      <c r="G39" s="337">
        <f>COUNTIF(URS確認!K:K,"&lt;"&amp;A39+1)/C39</f>
        <v>0.40554156171284633</v>
      </c>
      <c r="H39" s="337">
        <f>COUNTIF(URS確認!M:M,"&lt;"&amp;A39+1)/C39</f>
        <v>0.11838790931989925</v>
      </c>
      <c r="I39" s="337">
        <f>表格1_5[[#This Row],[累計預估達成率]]-表格1_5[[#This Row],[累計實際達成率]]</f>
        <v>0.2871536523929471</v>
      </c>
    </row>
    <row r="40" spans="1:9" ht="15" customHeight="1">
      <c r="A40" s="48">
        <v>44470</v>
      </c>
      <c r="B40" s="335">
        <f>表格1_5[[#This Row],[日期]]</f>
        <v>44470</v>
      </c>
      <c r="C40" s="345">
        <f>COUNTA(URS確認!E:E)-1-112-13</f>
        <v>397</v>
      </c>
      <c r="D40" s="83">
        <f>COUNTIF(URS確認!K:K,"&lt;"&amp;A40+1)</f>
        <v>191</v>
      </c>
      <c r="E40" s="83">
        <f>COUNTIF(URS確認!M:M,"&lt;"&amp;A40+1)</f>
        <v>61</v>
      </c>
      <c r="F40" s="83">
        <f t="shared" si="0"/>
        <v>130</v>
      </c>
      <c r="G40" s="337">
        <f>COUNTIF(URS確認!K:K,"&lt;"&amp;A40+1)/C40</f>
        <v>0.48110831234256929</v>
      </c>
      <c r="H40" s="337">
        <f>COUNTIF(URS確認!M:M,"&lt;"&amp;A40+1)/C40</f>
        <v>0.15365239294710328</v>
      </c>
      <c r="I40" s="337">
        <f>表格1_5[[#This Row],[累計預估達成率]]-表格1_5[[#This Row],[累計實際達成率]]</f>
        <v>0.32745591939546603</v>
      </c>
    </row>
    <row r="41" spans="1:9" ht="15" customHeight="1">
      <c r="A41" s="48">
        <v>44477</v>
      </c>
      <c r="B41" s="335">
        <f>表格1_5[[#This Row],[日期]]</f>
        <v>44477</v>
      </c>
      <c r="C41" s="345">
        <f>COUNTA(URS確認!E:E)-1-112-13</f>
        <v>397</v>
      </c>
      <c r="D41" s="83">
        <f>COUNTIF(URS確認!K:K,"&lt;"&amp;A41+1)</f>
        <v>215</v>
      </c>
      <c r="E41" s="83">
        <f>COUNTIF(URS確認!M:M,"&lt;"&amp;A41+1)</f>
        <v>82</v>
      </c>
      <c r="F41" s="83">
        <f t="shared" si="0"/>
        <v>133</v>
      </c>
      <c r="G41" s="337">
        <f>COUNTIF(URS確認!K:K,"&lt;"&amp;A41+1)/C41</f>
        <v>0.54156171284634758</v>
      </c>
      <c r="H41" s="337">
        <f>COUNTIF(URS確認!M:M,"&lt;"&amp;A41+1)/C41</f>
        <v>0.20654911838790932</v>
      </c>
      <c r="I41" s="337">
        <f>表格1_5[[#This Row],[累計預估達成率]]-表格1_5[[#This Row],[累計實際達成率]]</f>
        <v>0.33501259445843823</v>
      </c>
    </row>
    <row r="42" spans="1:9" ht="15" customHeight="1">
      <c r="A42" s="48">
        <v>44484</v>
      </c>
      <c r="B42" s="335">
        <f>表格1_5[[#This Row],[日期]]</f>
        <v>44484</v>
      </c>
      <c r="C42" s="345">
        <f>COUNTA(URS確認!E:E)-1-112-13</f>
        <v>397</v>
      </c>
      <c r="D42" s="83">
        <f>COUNTIF(URS確認!K:K,"&lt;"&amp;A42+1)</f>
        <v>224</v>
      </c>
      <c r="E42" s="83">
        <f>COUNTIF(URS確認!M:M,"&lt;"&amp;A42+1)</f>
        <v>82</v>
      </c>
      <c r="F42" s="83">
        <f t="shared" si="0"/>
        <v>142</v>
      </c>
      <c r="G42" s="337">
        <f>COUNTIF(URS確認!K:K,"&lt;"&amp;A42+1)/C42</f>
        <v>0.5642317380352645</v>
      </c>
      <c r="H42" s="337">
        <f>COUNTIF(URS確認!M:M,"&lt;"&amp;A42+1)/C42</f>
        <v>0.20654911838790932</v>
      </c>
      <c r="I42" s="337">
        <f>表格1_5[[#This Row],[累計預估達成率]]-表格1_5[[#This Row],[累計實際達成率]]</f>
        <v>0.35768261964735515</v>
      </c>
    </row>
    <row r="43" spans="1:9" ht="15" customHeight="1">
      <c r="H43" s="316"/>
      <c r="I43" s="316"/>
    </row>
    <row r="44" spans="1:9" ht="15" customHeight="1">
      <c r="H44" s="316"/>
      <c r="I44" s="316"/>
    </row>
    <row r="45" spans="1:9">
      <c r="A45" s="309" t="s">
        <v>2708</v>
      </c>
    </row>
    <row r="46" spans="1:9" ht="15" customHeight="1">
      <c r="A46" s="125" t="s">
        <v>74</v>
      </c>
      <c r="B46" s="379" t="s">
        <v>75</v>
      </c>
      <c r="C46" s="380" t="s">
        <v>76</v>
      </c>
      <c r="D46" s="145" t="s">
        <v>77</v>
      </c>
      <c r="E46" s="145" t="s">
        <v>78</v>
      </c>
      <c r="F46" s="145" t="s">
        <v>2706</v>
      </c>
      <c r="G46" s="381" t="s">
        <v>82</v>
      </c>
      <c r="H46" s="382" t="s">
        <v>83</v>
      </c>
      <c r="I46" s="383" t="s">
        <v>2707</v>
      </c>
    </row>
    <row r="47" spans="1:9" ht="15" customHeight="1">
      <c r="A47" s="309">
        <v>44431</v>
      </c>
      <c r="B47" s="314">
        <f t="shared" ref="B47:B56" si="1">A47</f>
        <v>44431</v>
      </c>
      <c r="C47" s="315">
        <f>COUNTA(URS確認!#REF!)</f>
        <v>1</v>
      </c>
      <c r="D47" s="310" t="e">
        <f>COUNTIF(URS確認!#REF!,"&lt;"&amp;A47+1)</f>
        <v>#REF!</v>
      </c>
      <c r="E47" s="310">
        <f>COUNTIF(URS確認!$L$35:$L$83,"&lt;"&amp;A47+1)</f>
        <v>8</v>
      </c>
      <c r="F47" s="310" t="e">
        <f t="shared" ref="F47:F56" si="2">D47-E47</f>
        <v>#REF!</v>
      </c>
      <c r="G47" s="316" t="e">
        <f t="shared" ref="G47:G56" si="3">D47/C47</f>
        <v>#REF!</v>
      </c>
      <c r="H47" s="317">
        <f t="shared" ref="H47:H56" si="4">E47/C47</f>
        <v>8</v>
      </c>
      <c r="I47" s="316" t="e">
        <f t="shared" ref="I47:I56" si="5">G47-H47</f>
        <v>#REF!</v>
      </c>
    </row>
    <row r="48" spans="1:9" ht="15" hidden="1" customHeight="1">
      <c r="A48" s="309">
        <v>44432</v>
      </c>
      <c r="B48" s="314">
        <f t="shared" si="1"/>
        <v>44432</v>
      </c>
      <c r="C48" s="315">
        <f>COUNTA(URS確認!#REF!)</f>
        <v>1</v>
      </c>
      <c r="D48" s="310" t="e">
        <f>COUNTIF(URS確認!#REF!,"&lt;"&amp;A48+1)</f>
        <v>#REF!</v>
      </c>
      <c r="E48" s="310">
        <f>COUNTIF(URS確認!$L$35:$L$83,"&lt;"&amp;A48+1)</f>
        <v>17</v>
      </c>
      <c r="F48" s="310" t="e">
        <f t="shared" si="2"/>
        <v>#REF!</v>
      </c>
      <c r="G48" s="316" t="e">
        <f t="shared" si="3"/>
        <v>#REF!</v>
      </c>
      <c r="H48" s="317">
        <f t="shared" si="4"/>
        <v>17</v>
      </c>
      <c r="I48" s="316" t="e">
        <f t="shared" si="5"/>
        <v>#REF!</v>
      </c>
    </row>
    <row r="49" spans="1:9" ht="15" hidden="1" customHeight="1">
      <c r="A49" s="309">
        <v>44433</v>
      </c>
      <c r="B49" s="314">
        <f t="shared" si="1"/>
        <v>44433</v>
      </c>
      <c r="C49" s="315">
        <f>COUNTA(URS確認!#REF!)</f>
        <v>1</v>
      </c>
      <c r="D49" s="310" t="e">
        <f>COUNTIF(URS確認!#REF!,"&lt;"&amp;A49+1)</f>
        <v>#REF!</v>
      </c>
      <c r="E49" s="310">
        <f>COUNTIF(URS確認!$L$35:$L$83,"&lt;"&amp;A49+1)</f>
        <v>21</v>
      </c>
      <c r="F49" s="310" t="e">
        <f t="shared" si="2"/>
        <v>#REF!</v>
      </c>
      <c r="G49" s="316" t="e">
        <f t="shared" si="3"/>
        <v>#REF!</v>
      </c>
      <c r="H49" s="317">
        <f t="shared" si="4"/>
        <v>21</v>
      </c>
      <c r="I49" s="316" t="e">
        <f t="shared" si="5"/>
        <v>#REF!</v>
      </c>
    </row>
    <row r="50" spans="1:9" ht="15" hidden="1" customHeight="1">
      <c r="A50" s="309">
        <v>44434</v>
      </c>
      <c r="B50" s="314">
        <f t="shared" si="1"/>
        <v>44434</v>
      </c>
      <c r="C50" s="315">
        <f>COUNTA(URS確認!#REF!)</f>
        <v>1</v>
      </c>
      <c r="D50" s="310" t="e">
        <f>COUNTIF(URS確認!#REF!,"&lt;"&amp;A50+1)</f>
        <v>#REF!</v>
      </c>
      <c r="E50" s="310">
        <f>COUNTIF(URS確認!$L$35:$L$83,"&lt;"&amp;A50+1)</f>
        <v>27</v>
      </c>
      <c r="F50" s="310" t="e">
        <f t="shared" si="2"/>
        <v>#REF!</v>
      </c>
      <c r="G50" s="316" t="e">
        <f t="shared" si="3"/>
        <v>#REF!</v>
      </c>
      <c r="H50" s="317">
        <f t="shared" si="4"/>
        <v>27</v>
      </c>
      <c r="I50" s="316" t="e">
        <f t="shared" si="5"/>
        <v>#REF!</v>
      </c>
    </row>
    <row r="51" spans="1:9" ht="15" customHeight="1">
      <c r="A51" s="309">
        <v>44435</v>
      </c>
      <c r="B51" s="314">
        <f t="shared" si="1"/>
        <v>44435</v>
      </c>
      <c r="C51" s="315">
        <f>COUNTA(URS確認!#REF!)</f>
        <v>1</v>
      </c>
      <c r="D51" s="310" t="e">
        <f>COUNTIF(URS確認!#REF!,"&lt;"&amp;A51+1)</f>
        <v>#REF!</v>
      </c>
      <c r="E51" s="310">
        <f>COUNTIF(URS確認!$L$35:$L$83,"&lt;"&amp;A51+1)</f>
        <v>29</v>
      </c>
      <c r="F51" s="310" t="e">
        <f t="shared" si="2"/>
        <v>#REF!</v>
      </c>
      <c r="G51" s="316" t="e">
        <f t="shared" si="3"/>
        <v>#REF!</v>
      </c>
      <c r="H51" s="317">
        <f t="shared" si="4"/>
        <v>29</v>
      </c>
      <c r="I51" s="316" t="e">
        <f t="shared" si="5"/>
        <v>#REF!</v>
      </c>
    </row>
    <row r="52" spans="1:9" ht="15" hidden="1" customHeight="1">
      <c r="A52" s="309">
        <v>44438</v>
      </c>
      <c r="B52" s="314">
        <f t="shared" si="1"/>
        <v>44438</v>
      </c>
      <c r="C52" s="315">
        <f>COUNTA(URS確認!#REF!)</f>
        <v>1</v>
      </c>
      <c r="D52" s="310" t="e">
        <f>COUNTIF(URS確認!#REF!,"&lt;"&amp;A52+1)</f>
        <v>#REF!</v>
      </c>
      <c r="E52" s="310">
        <f>COUNTIF(URS確認!$L$35:$L$83,"&lt;"&amp;A52+1)</f>
        <v>36</v>
      </c>
      <c r="F52" s="310" t="e">
        <f t="shared" si="2"/>
        <v>#REF!</v>
      </c>
      <c r="G52" s="316" t="e">
        <f t="shared" si="3"/>
        <v>#REF!</v>
      </c>
      <c r="H52" s="317">
        <f t="shared" si="4"/>
        <v>36</v>
      </c>
      <c r="I52" s="316" t="e">
        <f t="shared" si="5"/>
        <v>#REF!</v>
      </c>
    </row>
    <row r="53" spans="1:9" ht="15" hidden="1" customHeight="1">
      <c r="A53" s="309">
        <v>44439</v>
      </c>
      <c r="B53" s="314">
        <f t="shared" si="1"/>
        <v>44439</v>
      </c>
      <c r="C53" s="315">
        <f>COUNTA(URS確認!#REF!)</f>
        <v>1</v>
      </c>
      <c r="D53" s="310" t="e">
        <f>COUNTIF(URS確認!#REF!,"&lt;"&amp;A53+1)</f>
        <v>#REF!</v>
      </c>
      <c r="E53" s="310">
        <f>COUNTIF(URS確認!$L$35:$L$83,"&lt;"&amp;A53+1)</f>
        <v>49</v>
      </c>
      <c r="F53" s="310" t="e">
        <f t="shared" si="2"/>
        <v>#REF!</v>
      </c>
      <c r="G53" s="316" t="e">
        <f t="shared" si="3"/>
        <v>#REF!</v>
      </c>
      <c r="H53" s="317">
        <f t="shared" si="4"/>
        <v>49</v>
      </c>
      <c r="I53" s="316" t="e">
        <f t="shared" si="5"/>
        <v>#REF!</v>
      </c>
    </row>
    <row r="54" spans="1:9" ht="15" hidden="1" customHeight="1">
      <c r="A54" s="309">
        <v>44440</v>
      </c>
      <c r="B54" s="314">
        <f t="shared" si="1"/>
        <v>44440</v>
      </c>
      <c r="C54" s="315">
        <f>COUNTA(URS確認!#REF!)</f>
        <v>1</v>
      </c>
      <c r="D54" s="310" t="e">
        <f>COUNTIF(URS確認!#REF!,"&lt;"&amp;A54+1)</f>
        <v>#REF!</v>
      </c>
      <c r="E54" s="310">
        <f>COUNTIF(URS確認!$L$35:$L$83,"&lt;"&amp;A54+1)</f>
        <v>49</v>
      </c>
      <c r="F54" s="310" t="e">
        <f t="shared" si="2"/>
        <v>#REF!</v>
      </c>
      <c r="G54" s="316" t="e">
        <f t="shared" si="3"/>
        <v>#REF!</v>
      </c>
      <c r="H54" s="317">
        <f t="shared" si="4"/>
        <v>49</v>
      </c>
      <c r="I54" s="316" t="e">
        <f t="shared" si="5"/>
        <v>#REF!</v>
      </c>
    </row>
    <row r="55" spans="1:9" ht="15" hidden="1" customHeight="1">
      <c r="A55" s="309">
        <v>44441</v>
      </c>
      <c r="B55" s="314">
        <f t="shared" si="1"/>
        <v>44441</v>
      </c>
      <c r="C55" s="315">
        <f>COUNTA(URS確認!#REF!)</f>
        <v>1</v>
      </c>
      <c r="D55" s="310" t="e">
        <f>COUNTIF(URS確認!#REF!,"&lt;"&amp;A55+1)</f>
        <v>#REF!</v>
      </c>
      <c r="E55" s="310">
        <f>COUNTIF(URS確認!$L$35:$L$83,"&lt;"&amp;A55+1)</f>
        <v>49</v>
      </c>
      <c r="F55" s="310" t="e">
        <f t="shared" si="2"/>
        <v>#REF!</v>
      </c>
      <c r="G55" s="316" t="e">
        <f t="shared" si="3"/>
        <v>#REF!</v>
      </c>
      <c r="H55" s="317">
        <f t="shared" si="4"/>
        <v>49</v>
      </c>
      <c r="I55" s="316" t="e">
        <f t="shared" si="5"/>
        <v>#REF!</v>
      </c>
    </row>
    <row r="56" spans="1:9" ht="15" customHeight="1">
      <c r="A56" s="309">
        <v>44442</v>
      </c>
      <c r="B56" s="314">
        <f t="shared" si="1"/>
        <v>44442</v>
      </c>
      <c r="C56" s="315">
        <f>COUNTA(URS確認!#REF!)</f>
        <v>1</v>
      </c>
      <c r="D56" s="310" t="e">
        <f>COUNTIF(URS確認!#REF!,"&lt;"&amp;A56+1)</f>
        <v>#REF!</v>
      </c>
      <c r="E56" s="310">
        <f>COUNTIF(URS確認!$L$35:$L$83,"&lt;"&amp;A56+1)</f>
        <v>49</v>
      </c>
      <c r="F56" s="310" t="e">
        <f t="shared" si="2"/>
        <v>#REF!</v>
      </c>
      <c r="G56" s="316" t="e">
        <f t="shared" si="3"/>
        <v>#REF!</v>
      </c>
      <c r="H56" s="317">
        <f t="shared" si="4"/>
        <v>49</v>
      </c>
      <c r="I56" s="316" t="e">
        <f t="shared" si="5"/>
        <v>#REF!</v>
      </c>
    </row>
    <row r="59" spans="1:9" ht="15" customHeight="1">
      <c r="A59" s="125" t="s">
        <v>74</v>
      </c>
      <c r="B59" s="379" t="s">
        <v>75</v>
      </c>
      <c r="C59" s="380" t="s">
        <v>76</v>
      </c>
      <c r="D59" s="145" t="s">
        <v>77</v>
      </c>
      <c r="E59" s="145" t="s">
        <v>78</v>
      </c>
      <c r="F59" s="145" t="s">
        <v>2706</v>
      </c>
      <c r="G59" s="381" t="s">
        <v>82</v>
      </c>
      <c r="H59" s="382" t="s">
        <v>83</v>
      </c>
      <c r="I59" s="383" t="s">
        <v>2707</v>
      </c>
    </row>
    <row r="60" spans="1:9" ht="15" customHeight="1">
      <c r="A60" s="309">
        <v>44447</v>
      </c>
      <c r="B60" s="314">
        <f t="shared" ref="B60:B73" si="6">A60</f>
        <v>44447</v>
      </c>
      <c r="C60" s="315">
        <f>COUNTA(URS確認!#REF!)</f>
        <v>1</v>
      </c>
      <c r="D60" s="310" t="e">
        <f>COUNTIF(URS確認!#REF!,"&lt;"&amp;A60+1)</f>
        <v>#REF!</v>
      </c>
      <c r="E60" s="310">
        <f>COUNTIF(URS確認!$L$84:$L$511,"&lt;"&amp;A60+1)-23</f>
        <v>11</v>
      </c>
      <c r="F60" s="310" t="e">
        <f t="shared" ref="F60:F73" si="7">D60-E60</f>
        <v>#REF!</v>
      </c>
      <c r="G60" s="316" t="e">
        <f t="shared" ref="G60:G73" si="8">D60/C60</f>
        <v>#REF!</v>
      </c>
      <c r="H60" s="317">
        <f t="shared" ref="H60:H73" si="9">E60/C60</f>
        <v>11</v>
      </c>
      <c r="I60" s="316" t="e">
        <f t="shared" ref="I60:I73" si="10">G60-H60</f>
        <v>#REF!</v>
      </c>
    </row>
    <row r="61" spans="1:9" ht="15" customHeight="1">
      <c r="A61" s="309">
        <v>44448</v>
      </c>
      <c r="B61" s="314">
        <f t="shared" si="6"/>
        <v>44448</v>
      </c>
      <c r="C61" s="315">
        <f>COUNTA(URS確認!#REF!)</f>
        <v>1</v>
      </c>
      <c r="D61" s="310" t="e">
        <f>COUNTIF(URS確認!#REF!,"&lt;"&amp;A61+1)</f>
        <v>#REF!</v>
      </c>
      <c r="E61" s="310">
        <f>COUNTIF(URS確認!$L$84:$L$511,"&lt;"&amp;A61+1)-23</f>
        <v>15</v>
      </c>
      <c r="F61" s="310" t="e">
        <f t="shared" si="7"/>
        <v>#REF!</v>
      </c>
      <c r="G61" s="316" t="e">
        <f t="shared" si="8"/>
        <v>#REF!</v>
      </c>
      <c r="H61" s="317">
        <f t="shared" si="9"/>
        <v>15</v>
      </c>
      <c r="I61" s="316" t="e">
        <f t="shared" si="10"/>
        <v>#REF!</v>
      </c>
    </row>
    <row r="62" spans="1:9" ht="15" customHeight="1">
      <c r="A62" s="309">
        <v>44449</v>
      </c>
      <c r="B62" s="314">
        <f t="shared" si="6"/>
        <v>44449</v>
      </c>
      <c r="C62" s="315">
        <f>COUNTA(URS確認!#REF!)</f>
        <v>1</v>
      </c>
      <c r="D62" s="310" t="e">
        <f>COUNTIF(URS確認!#REF!,"&lt;"&amp;A62+1)</f>
        <v>#REF!</v>
      </c>
      <c r="E62" s="310">
        <f>COUNTIF(URS確認!$L$84:$L$511,"&lt;"&amp;A62+1)-23</f>
        <v>15</v>
      </c>
      <c r="F62" s="310" t="e">
        <f t="shared" si="7"/>
        <v>#REF!</v>
      </c>
      <c r="G62" s="316" t="e">
        <f t="shared" si="8"/>
        <v>#REF!</v>
      </c>
      <c r="H62" s="317">
        <f t="shared" si="9"/>
        <v>15</v>
      </c>
      <c r="I62" s="316" t="e">
        <f t="shared" si="10"/>
        <v>#REF!</v>
      </c>
    </row>
    <row r="63" spans="1:9" ht="15" hidden="1" customHeight="1">
      <c r="A63" s="309">
        <v>44452</v>
      </c>
      <c r="B63" s="314">
        <f t="shared" si="6"/>
        <v>44452</v>
      </c>
      <c r="C63" s="315">
        <f>COUNTA(URS確認!#REF!)</f>
        <v>1</v>
      </c>
      <c r="D63" s="310" t="e">
        <f>COUNTIF(URS確認!#REF!,"&lt;"&amp;A63+1)</f>
        <v>#REF!</v>
      </c>
      <c r="E63" s="310">
        <f>COUNTIF(URS確認!$L$84:$L$511,"&lt;"&amp;A63+1)-23</f>
        <v>22</v>
      </c>
      <c r="F63" s="310" t="e">
        <f t="shared" si="7"/>
        <v>#REF!</v>
      </c>
      <c r="G63" s="316" t="e">
        <f t="shared" si="8"/>
        <v>#REF!</v>
      </c>
      <c r="H63" s="317">
        <f t="shared" si="9"/>
        <v>22</v>
      </c>
      <c r="I63" s="316" t="e">
        <f t="shared" si="10"/>
        <v>#REF!</v>
      </c>
    </row>
    <row r="64" spans="1:9" ht="15" hidden="1" customHeight="1">
      <c r="A64" s="309">
        <v>44453</v>
      </c>
      <c r="B64" s="314">
        <f t="shared" si="6"/>
        <v>44453</v>
      </c>
      <c r="C64" s="315">
        <f>COUNTA(URS確認!#REF!)</f>
        <v>1</v>
      </c>
      <c r="D64" s="149" t="e">
        <f>COUNTIF(URS確認!#REF!,"&lt;"&amp;A64+1)</f>
        <v>#REF!</v>
      </c>
      <c r="E64" s="149">
        <f>COUNTIF(URS確認!$L$84:$L$511,"&lt;"&amp;A64+1)-23</f>
        <v>25</v>
      </c>
      <c r="F64" s="310" t="e">
        <f t="shared" si="7"/>
        <v>#REF!</v>
      </c>
      <c r="G64" s="316" t="e">
        <f t="shared" si="8"/>
        <v>#REF!</v>
      </c>
      <c r="H64" s="317">
        <f t="shared" si="9"/>
        <v>25</v>
      </c>
      <c r="I64" s="316" t="e">
        <f t="shared" si="10"/>
        <v>#REF!</v>
      </c>
    </row>
    <row r="65" spans="1:9" ht="15" hidden="1" customHeight="1">
      <c r="A65" s="309">
        <v>44455</v>
      </c>
      <c r="B65" s="314">
        <f t="shared" si="6"/>
        <v>44455</v>
      </c>
      <c r="C65" s="315">
        <f>COUNTA(URS確認!#REF!)</f>
        <v>1</v>
      </c>
      <c r="D65" s="149" t="e">
        <f>COUNTIF(URS確認!#REF!,"&lt;"&amp;A65+1)</f>
        <v>#REF!</v>
      </c>
      <c r="E65" s="149">
        <f>COUNTIF(URS確認!$L$84:$L$511,"&lt;"&amp;A65+1)-23</f>
        <v>37</v>
      </c>
      <c r="F65" s="310" t="e">
        <f t="shared" si="7"/>
        <v>#REF!</v>
      </c>
      <c r="G65" s="316" t="e">
        <f t="shared" si="8"/>
        <v>#REF!</v>
      </c>
      <c r="H65" s="317">
        <f t="shared" si="9"/>
        <v>37</v>
      </c>
      <c r="I65" s="316" t="e">
        <f t="shared" si="10"/>
        <v>#REF!</v>
      </c>
    </row>
    <row r="66" spans="1:9" ht="15" customHeight="1">
      <c r="A66" s="309">
        <v>44456</v>
      </c>
      <c r="B66" s="314">
        <f t="shared" si="6"/>
        <v>44456</v>
      </c>
      <c r="C66" s="315">
        <f>COUNTA(URS確認!#REF!)</f>
        <v>1</v>
      </c>
      <c r="D66" s="149" t="e">
        <f>COUNTIF(URS確認!#REF!,"&lt;"&amp;A66+1)</f>
        <v>#REF!</v>
      </c>
      <c r="E66" s="149">
        <f>COUNTIF(URS確認!$L$84:$L$511,"&lt;"&amp;A66+1)-23</f>
        <v>42</v>
      </c>
      <c r="F66" s="310" t="e">
        <f t="shared" si="7"/>
        <v>#REF!</v>
      </c>
      <c r="G66" s="316" t="e">
        <f t="shared" si="8"/>
        <v>#REF!</v>
      </c>
      <c r="H66" s="317">
        <f t="shared" si="9"/>
        <v>42</v>
      </c>
      <c r="I66" s="316" t="e">
        <f t="shared" si="10"/>
        <v>#REF!</v>
      </c>
    </row>
    <row r="67" spans="1:9" ht="15" hidden="1" customHeight="1">
      <c r="A67" s="309">
        <v>44462</v>
      </c>
      <c r="B67" s="314">
        <f t="shared" si="6"/>
        <v>44462</v>
      </c>
      <c r="C67" s="315">
        <f>COUNTA(URS確認!#REF!)</f>
        <v>1</v>
      </c>
      <c r="D67" s="149" t="e">
        <f>COUNTIF(URS確認!#REF!,"&lt;"&amp;A67+1)</f>
        <v>#REF!</v>
      </c>
      <c r="E67" s="149">
        <f>COUNTIF(URS確認!$L$84:$L$511,"&lt;"&amp;A67+1)-23</f>
        <v>52</v>
      </c>
      <c r="F67" s="310" t="e">
        <f t="shared" si="7"/>
        <v>#REF!</v>
      </c>
      <c r="G67" s="316" t="e">
        <f t="shared" si="8"/>
        <v>#REF!</v>
      </c>
      <c r="H67" s="317">
        <f t="shared" si="9"/>
        <v>52</v>
      </c>
      <c r="I67" s="316" t="e">
        <f t="shared" si="10"/>
        <v>#REF!</v>
      </c>
    </row>
    <row r="68" spans="1:9" ht="15" customHeight="1">
      <c r="A68" s="309">
        <v>44463</v>
      </c>
      <c r="B68" s="314">
        <f t="shared" si="6"/>
        <v>44463</v>
      </c>
      <c r="C68" s="315">
        <f>COUNTA(URS確認!#REF!)</f>
        <v>1</v>
      </c>
      <c r="D68" s="149" t="e">
        <f>COUNTIF(URS確認!#REF!,"&lt;"&amp;A68+1)</f>
        <v>#REF!</v>
      </c>
      <c r="E68" s="149">
        <f>COUNTIF(URS確認!$L$84:$L$511,"&lt;"&amp;A68+1)-23</f>
        <v>68</v>
      </c>
      <c r="F68" s="310" t="e">
        <f t="shared" si="7"/>
        <v>#REF!</v>
      </c>
      <c r="G68" s="316" t="e">
        <f t="shared" si="8"/>
        <v>#REF!</v>
      </c>
      <c r="H68" s="317">
        <f t="shared" si="9"/>
        <v>68</v>
      </c>
      <c r="I68" s="316" t="e">
        <f t="shared" si="10"/>
        <v>#REF!</v>
      </c>
    </row>
    <row r="69" spans="1:9" ht="15" hidden="1" customHeight="1">
      <c r="A69" s="309">
        <v>44466</v>
      </c>
      <c r="B69" s="314">
        <f t="shared" si="6"/>
        <v>44466</v>
      </c>
      <c r="C69" s="315">
        <f>COUNTA(URS確認!#REF!)</f>
        <v>1</v>
      </c>
      <c r="D69" s="149" t="e">
        <f>COUNTIF(URS確認!#REF!,"&lt;"&amp;A69+1)</f>
        <v>#REF!</v>
      </c>
      <c r="E69" s="149">
        <f>COUNTIF(URS確認!$L$84:$L$511,"&lt;"&amp;A69+1)-23</f>
        <v>81</v>
      </c>
      <c r="F69" s="310" t="e">
        <f t="shared" si="7"/>
        <v>#REF!</v>
      </c>
      <c r="G69" s="316" t="e">
        <f t="shared" si="8"/>
        <v>#REF!</v>
      </c>
      <c r="H69" s="317">
        <f t="shared" si="9"/>
        <v>81</v>
      </c>
      <c r="I69" s="316" t="e">
        <f t="shared" si="10"/>
        <v>#REF!</v>
      </c>
    </row>
    <row r="70" spans="1:9" ht="15" hidden="1" customHeight="1">
      <c r="A70" s="309">
        <v>44467</v>
      </c>
      <c r="B70" s="314">
        <f t="shared" si="6"/>
        <v>44467</v>
      </c>
      <c r="C70" s="315">
        <f>COUNTA(URS確認!#REF!)</f>
        <v>1</v>
      </c>
      <c r="D70" s="149" t="e">
        <f>COUNTIF(URS確認!#REF!,"&lt;"&amp;A70+1)</f>
        <v>#REF!</v>
      </c>
      <c r="E70" s="149">
        <f>COUNTIF(URS確認!$L$84:$L$511,"&lt;"&amp;A70+1)-23</f>
        <v>103</v>
      </c>
      <c r="F70" s="310" t="e">
        <f t="shared" si="7"/>
        <v>#REF!</v>
      </c>
      <c r="G70" s="316" t="e">
        <f t="shared" si="8"/>
        <v>#REF!</v>
      </c>
      <c r="H70" s="317">
        <f t="shared" si="9"/>
        <v>103</v>
      </c>
      <c r="I70" s="316" t="e">
        <f t="shared" si="10"/>
        <v>#REF!</v>
      </c>
    </row>
    <row r="71" spans="1:9" ht="15" customHeight="1">
      <c r="A71" s="309">
        <v>44470</v>
      </c>
      <c r="B71" s="314">
        <f t="shared" si="6"/>
        <v>44470</v>
      </c>
      <c r="C71" s="315">
        <f>COUNTA(URS確認!#REF!)</f>
        <v>1</v>
      </c>
      <c r="D71" s="149" t="e">
        <f>COUNTIF(URS確認!#REF!,"&lt;"&amp;A71+1)</f>
        <v>#REF!</v>
      </c>
      <c r="E71" s="149">
        <f>COUNTIF(URS確認!$L$84:$L$511,"&lt;"&amp;A71+1)-23</f>
        <v>113</v>
      </c>
      <c r="F71" s="310" t="e">
        <f t="shared" si="7"/>
        <v>#REF!</v>
      </c>
      <c r="G71" s="316" t="e">
        <f t="shared" si="8"/>
        <v>#REF!</v>
      </c>
      <c r="H71" s="317">
        <f t="shared" si="9"/>
        <v>113</v>
      </c>
      <c r="I71" s="316" t="e">
        <f t="shared" si="10"/>
        <v>#REF!</v>
      </c>
    </row>
    <row r="72" spans="1:9" ht="15" customHeight="1">
      <c r="A72" s="309">
        <v>44477</v>
      </c>
      <c r="B72" s="314">
        <f t="shared" si="6"/>
        <v>44477</v>
      </c>
      <c r="C72" s="315">
        <f>COUNTA(URS確認!#REF!)</f>
        <v>1</v>
      </c>
      <c r="D72" s="149" t="e">
        <f>COUNTIF(URS確認!#REF!,"&lt;"&amp;A72+1)</f>
        <v>#REF!</v>
      </c>
      <c r="E72" s="149">
        <f>COUNTIF(URS確認!$L$84:$L$511,"&lt;"&amp;A72+1)-23</f>
        <v>121</v>
      </c>
      <c r="F72" s="310" t="e">
        <f t="shared" si="7"/>
        <v>#REF!</v>
      </c>
      <c r="G72" s="316" t="e">
        <f t="shared" si="8"/>
        <v>#REF!</v>
      </c>
      <c r="H72" s="317">
        <f t="shared" si="9"/>
        <v>121</v>
      </c>
      <c r="I72" s="316" t="e">
        <f t="shared" si="10"/>
        <v>#REF!</v>
      </c>
    </row>
    <row r="73" spans="1:9" ht="15" customHeight="1">
      <c r="A73" s="309">
        <v>44484</v>
      </c>
      <c r="B73" s="314">
        <f t="shared" si="6"/>
        <v>44484</v>
      </c>
      <c r="C73" s="315">
        <f>COUNTA(URS確認!#REF!)</f>
        <v>1</v>
      </c>
      <c r="D73" s="149" t="e">
        <f>COUNTIF(URS確認!#REF!,"&lt;"&amp;A73+1)</f>
        <v>#REF!</v>
      </c>
      <c r="E73" s="149">
        <f>COUNTIF(URS確認!$L$84:$L$511,"&lt;"&amp;A73+1)-23</f>
        <v>154</v>
      </c>
      <c r="F73" s="310" t="e">
        <f t="shared" si="7"/>
        <v>#REF!</v>
      </c>
      <c r="G73" s="316" t="e">
        <f t="shared" si="8"/>
        <v>#REF!</v>
      </c>
      <c r="H73" s="317">
        <f t="shared" si="9"/>
        <v>154</v>
      </c>
      <c r="I73" s="316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9" bestFit="1" customWidth="1"/>
    <col min="2" max="2" width="8.75" style="173" customWidth="1"/>
    <col min="3" max="3" width="35.375" style="173" bestFit="1" customWidth="1"/>
    <col min="4" max="4" width="8.75" style="173" customWidth="1"/>
    <col min="5" max="5" width="9.375" style="173" bestFit="1" customWidth="1"/>
    <col min="6" max="6" width="11.375" style="173" bestFit="1" customWidth="1"/>
    <col min="7" max="8" width="8.75" style="173" customWidth="1"/>
    <col min="9" max="9" width="31.125" style="173" bestFit="1" customWidth="1"/>
    <col min="10" max="12" width="8.75" style="173" customWidth="1"/>
    <col min="13" max="16384" width="8.75" style="173"/>
  </cols>
  <sheetData>
    <row r="1" spans="1:9" ht="16.5" customHeight="1" thickBot="1">
      <c r="A1" s="209">
        <f>SUM(A2:A34)</f>
        <v>33</v>
      </c>
      <c r="B1" s="199" t="s">
        <v>113</v>
      </c>
      <c r="C1" s="200" t="s">
        <v>114</v>
      </c>
      <c r="D1" s="200" t="s">
        <v>115</v>
      </c>
      <c r="E1" s="201" t="s">
        <v>116</v>
      </c>
      <c r="F1" s="202" t="s">
        <v>117</v>
      </c>
      <c r="G1" s="203" t="s">
        <v>54</v>
      </c>
      <c r="H1" s="203" t="s">
        <v>55</v>
      </c>
      <c r="I1" s="204" t="s">
        <v>120</v>
      </c>
    </row>
    <row r="2" spans="1:9">
      <c r="A2" s="209">
        <v>6</v>
      </c>
      <c r="B2" s="183" t="s">
        <v>852</v>
      </c>
      <c r="C2" s="195" t="s">
        <v>853</v>
      </c>
      <c r="D2" s="184" t="s">
        <v>203</v>
      </c>
      <c r="E2" s="185" t="s">
        <v>239</v>
      </c>
      <c r="F2" s="186">
        <v>44494</v>
      </c>
      <c r="G2" s="184" t="s">
        <v>12</v>
      </c>
      <c r="H2" s="184" t="s">
        <v>14</v>
      </c>
      <c r="I2" s="187" t="s">
        <v>854</v>
      </c>
    </row>
    <row r="3" spans="1:9">
      <c r="B3" s="189" t="s">
        <v>857</v>
      </c>
      <c r="C3" s="178" t="s">
        <v>858</v>
      </c>
      <c r="D3" s="174" t="s">
        <v>203</v>
      </c>
      <c r="E3" s="175" t="s">
        <v>239</v>
      </c>
      <c r="F3" s="176">
        <v>44494</v>
      </c>
      <c r="G3" s="174" t="s">
        <v>12</v>
      </c>
      <c r="H3" s="174" t="s">
        <v>14</v>
      </c>
      <c r="I3" s="188" t="s">
        <v>854</v>
      </c>
    </row>
    <row r="4" spans="1:9">
      <c r="B4" s="189" t="s">
        <v>861</v>
      </c>
      <c r="C4" s="179" t="s">
        <v>2709</v>
      </c>
      <c r="D4" s="174" t="s">
        <v>203</v>
      </c>
      <c r="E4" s="175" t="s">
        <v>239</v>
      </c>
      <c r="F4" s="176">
        <v>44494</v>
      </c>
      <c r="G4" s="174" t="s">
        <v>12</v>
      </c>
      <c r="H4" s="174" t="s">
        <v>14</v>
      </c>
      <c r="I4" s="188" t="s">
        <v>854</v>
      </c>
    </row>
    <row r="5" spans="1:9">
      <c r="B5" s="189" t="s">
        <v>863</v>
      </c>
      <c r="C5" s="179" t="s">
        <v>2341</v>
      </c>
      <c r="D5" s="174" t="s">
        <v>203</v>
      </c>
      <c r="E5" s="175" t="s">
        <v>239</v>
      </c>
      <c r="F5" s="176">
        <v>44494</v>
      </c>
      <c r="G5" s="174" t="s">
        <v>12</v>
      </c>
      <c r="H5" s="174" t="s">
        <v>14</v>
      </c>
      <c r="I5" s="188" t="s">
        <v>854</v>
      </c>
    </row>
    <row r="6" spans="1:9">
      <c r="B6" s="189" t="s">
        <v>867</v>
      </c>
      <c r="C6" s="179" t="s">
        <v>868</v>
      </c>
      <c r="D6" s="174" t="s">
        <v>147</v>
      </c>
      <c r="E6" s="175" t="s">
        <v>239</v>
      </c>
      <c r="F6" s="176">
        <v>44494</v>
      </c>
      <c r="G6" s="174" t="s">
        <v>12</v>
      </c>
      <c r="H6" s="174" t="s">
        <v>14</v>
      </c>
      <c r="I6" s="188" t="s">
        <v>854</v>
      </c>
    </row>
    <row r="7" spans="1:9" ht="16.5" customHeight="1" thickBot="1">
      <c r="B7" s="197" t="s">
        <v>872</v>
      </c>
      <c r="C7" s="207" t="s">
        <v>873</v>
      </c>
      <c r="D7" s="191" t="s">
        <v>147</v>
      </c>
      <c r="E7" s="192" t="s">
        <v>239</v>
      </c>
      <c r="F7" s="193">
        <v>44494</v>
      </c>
      <c r="G7" s="191" t="s">
        <v>12</v>
      </c>
      <c r="H7" s="191" t="s">
        <v>13</v>
      </c>
      <c r="I7" s="208" t="s">
        <v>874</v>
      </c>
    </row>
    <row r="8" spans="1:9">
      <c r="A8" s="209">
        <v>6</v>
      </c>
      <c r="B8" s="205" t="s">
        <v>875</v>
      </c>
      <c r="C8" s="181" t="s">
        <v>2344</v>
      </c>
      <c r="D8" s="180" t="s">
        <v>203</v>
      </c>
      <c r="E8" s="180" t="s">
        <v>239</v>
      </c>
      <c r="F8" s="182">
        <v>44494</v>
      </c>
      <c r="G8" s="180" t="s">
        <v>10</v>
      </c>
      <c r="H8" s="180" t="s">
        <v>13</v>
      </c>
      <c r="I8" s="206"/>
    </row>
    <row r="9" spans="1:9">
      <c r="B9" s="189" t="s">
        <v>878</v>
      </c>
      <c r="C9" s="177" t="s">
        <v>2710</v>
      </c>
      <c r="D9" s="174" t="s">
        <v>203</v>
      </c>
      <c r="E9" s="174" t="s">
        <v>239</v>
      </c>
      <c r="F9" s="176">
        <v>44494</v>
      </c>
      <c r="G9" s="174" t="s">
        <v>7</v>
      </c>
      <c r="H9" s="174" t="s">
        <v>180</v>
      </c>
      <c r="I9" s="190"/>
    </row>
    <row r="10" spans="1:9">
      <c r="B10" s="189" t="s">
        <v>881</v>
      </c>
      <c r="C10" s="179" t="s">
        <v>2711</v>
      </c>
      <c r="D10" s="174" t="s">
        <v>203</v>
      </c>
      <c r="E10" s="175" t="s">
        <v>239</v>
      </c>
      <c r="F10" s="176">
        <v>44494</v>
      </c>
      <c r="G10" s="174" t="s">
        <v>12</v>
      </c>
      <c r="H10" s="174" t="s">
        <v>180</v>
      </c>
      <c r="I10" s="190"/>
    </row>
    <row r="11" spans="1:9">
      <c r="B11" s="189" t="s">
        <v>884</v>
      </c>
      <c r="C11" s="179" t="s">
        <v>2712</v>
      </c>
      <c r="D11" s="174" t="s">
        <v>203</v>
      </c>
      <c r="E11" s="175" t="s">
        <v>239</v>
      </c>
      <c r="F11" s="176">
        <v>44494</v>
      </c>
      <c r="G11" s="174" t="s">
        <v>12</v>
      </c>
      <c r="H11" s="174" t="s">
        <v>180</v>
      </c>
      <c r="I11" s="190"/>
    </row>
    <row r="12" spans="1:9">
      <c r="B12" s="189" t="s">
        <v>888</v>
      </c>
      <c r="C12" s="179" t="s">
        <v>2355</v>
      </c>
      <c r="D12" s="174" t="s">
        <v>203</v>
      </c>
      <c r="E12" s="175" t="s">
        <v>239</v>
      </c>
      <c r="F12" s="176">
        <v>44494</v>
      </c>
      <c r="G12" s="174" t="s">
        <v>10</v>
      </c>
      <c r="H12" s="174" t="s">
        <v>25</v>
      </c>
      <c r="I12" s="190" t="s">
        <v>874</v>
      </c>
    </row>
    <row r="13" spans="1:9" ht="16.5" customHeight="1" thickBot="1">
      <c r="B13" s="197" t="s">
        <v>891</v>
      </c>
      <c r="C13" s="198" t="s">
        <v>2357</v>
      </c>
      <c r="D13" s="191" t="s">
        <v>203</v>
      </c>
      <c r="E13" s="192" t="s">
        <v>239</v>
      </c>
      <c r="F13" s="193">
        <v>44494</v>
      </c>
      <c r="G13" s="191" t="s">
        <v>10</v>
      </c>
      <c r="H13" s="191" t="s">
        <v>25</v>
      </c>
      <c r="I13" s="194" t="s">
        <v>874</v>
      </c>
    </row>
    <row r="14" spans="1:9">
      <c r="A14" s="209">
        <v>8</v>
      </c>
      <c r="B14" s="183" t="s">
        <v>894</v>
      </c>
      <c r="C14" s="195" t="s">
        <v>2494</v>
      </c>
      <c r="D14" s="184" t="s">
        <v>486</v>
      </c>
      <c r="E14" s="184" t="s">
        <v>148</v>
      </c>
      <c r="F14" s="186">
        <v>44496</v>
      </c>
      <c r="G14" s="184" t="s">
        <v>7</v>
      </c>
      <c r="H14" s="184" t="s">
        <v>14</v>
      </c>
      <c r="I14" s="196"/>
    </row>
    <row r="15" spans="1:9">
      <c r="B15" s="189" t="s">
        <v>896</v>
      </c>
      <c r="C15" s="179" t="s">
        <v>2713</v>
      </c>
      <c r="D15" s="174" t="s">
        <v>486</v>
      </c>
      <c r="E15" s="174" t="s">
        <v>148</v>
      </c>
      <c r="F15" s="176">
        <v>44496</v>
      </c>
      <c r="G15" s="174" t="s">
        <v>7</v>
      </c>
      <c r="H15" s="174" t="s">
        <v>14</v>
      </c>
      <c r="I15" s="190"/>
    </row>
    <row r="16" spans="1:9">
      <c r="B16" s="189" t="s">
        <v>898</v>
      </c>
      <c r="C16" s="179" t="s">
        <v>2714</v>
      </c>
      <c r="D16" s="174" t="s">
        <v>486</v>
      </c>
      <c r="E16" s="174" t="s">
        <v>148</v>
      </c>
      <c r="F16" s="176">
        <v>44496</v>
      </c>
      <c r="G16" s="174" t="s">
        <v>7</v>
      </c>
      <c r="H16" s="174" t="s">
        <v>14</v>
      </c>
      <c r="I16" s="190"/>
    </row>
    <row r="17" spans="1:9">
      <c r="B17" s="189" t="s">
        <v>900</v>
      </c>
      <c r="C17" s="179" t="s">
        <v>2715</v>
      </c>
      <c r="D17" s="174" t="s">
        <v>486</v>
      </c>
      <c r="E17" s="174" t="s">
        <v>148</v>
      </c>
      <c r="F17" s="176">
        <v>44496</v>
      </c>
      <c r="G17" s="174" t="s">
        <v>7</v>
      </c>
      <c r="H17" s="174" t="s">
        <v>14</v>
      </c>
      <c r="I17" s="190"/>
    </row>
    <row r="18" spans="1:9">
      <c r="B18" s="189" t="s">
        <v>902</v>
      </c>
      <c r="C18" s="179" t="s">
        <v>2716</v>
      </c>
      <c r="D18" s="174" t="s">
        <v>486</v>
      </c>
      <c r="E18" s="174" t="s">
        <v>148</v>
      </c>
      <c r="F18" s="176">
        <v>44496</v>
      </c>
      <c r="G18" s="174" t="s">
        <v>7</v>
      </c>
      <c r="H18" s="174" t="s">
        <v>14</v>
      </c>
      <c r="I18" s="190"/>
    </row>
    <row r="19" spans="1:9">
      <c r="B19" s="189" t="s">
        <v>904</v>
      </c>
      <c r="C19" s="179" t="s">
        <v>2717</v>
      </c>
      <c r="D19" s="174" t="s">
        <v>486</v>
      </c>
      <c r="E19" s="174" t="s">
        <v>148</v>
      </c>
      <c r="F19" s="176">
        <v>44496</v>
      </c>
      <c r="G19" s="174" t="s">
        <v>7</v>
      </c>
      <c r="H19" s="174" t="s">
        <v>14</v>
      </c>
      <c r="I19" s="190"/>
    </row>
    <row r="20" spans="1:9">
      <c r="B20" s="189" t="s">
        <v>906</v>
      </c>
      <c r="C20" s="179" t="s">
        <v>2718</v>
      </c>
      <c r="D20" s="174" t="s">
        <v>486</v>
      </c>
      <c r="E20" s="174" t="s">
        <v>148</v>
      </c>
      <c r="F20" s="176">
        <v>44496</v>
      </c>
      <c r="G20" s="174" t="s">
        <v>7</v>
      </c>
      <c r="H20" s="174" t="s">
        <v>14</v>
      </c>
      <c r="I20" s="190"/>
    </row>
    <row r="21" spans="1:9" ht="16.5" customHeight="1" thickBot="1">
      <c r="B21" s="197" t="s">
        <v>908</v>
      </c>
      <c r="C21" s="198" t="s">
        <v>2719</v>
      </c>
      <c r="D21" s="191" t="s">
        <v>486</v>
      </c>
      <c r="E21" s="191" t="s">
        <v>148</v>
      </c>
      <c r="F21" s="193">
        <v>44496</v>
      </c>
      <c r="G21" s="191" t="s">
        <v>7</v>
      </c>
      <c r="H21" s="191" t="s">
        <v>14</v>
      </c>
      <c r="I21" s="194"/>
    </row>
    <row r="22" spans="1:9">
      <c r="A22" s="209">
        <v>5</v>
      </c>
      <c r="B22" s="183" t="s">
        <v>910</v>
      </c>
      <c r="C22" s="195" t="s">
        <v>2720</v>
      </c>
      <c r="D22" s="184" t="s">
        <v>486</v>
      </c>
      <c r="E22" s="184" t="s">
        <v>148</v>
      </c>
      <c r="F22" s="186">
        <v>44497</v>
      </c>
      <c r="G22" s="184" t="s">
        <v>7</v>
      </c>
      <c r="H22" s="184" t="s">
        <v>14</v>
      </c>
      <c r="I22" s="196"/>
    </row>
    <row r="23" spans="1:9">
      <c r="B23" s="189" t="s">
        <v>912</v>
      </c>
      <c r="C23" s="179" t="s">
        <v>2721</v>
      </c>
      <c r="D23" s="174" t="s">
        <v>486</v>
      </c>
      <c r="E23" s="174" t="s">
        <v>148</v>
      </c>
      <c r="F23" s="176">
        <v>44497</v>
      </c>
      <c r="G23" s="174" t="s">
        <v>7</v>
      </c>
      <c r="H23" s="174" t="s">
        <v>14</v>
      </c>
      <c r="I23" s="190"/>
    </row>
    <row r="24" spans="1:9">
      <c r="B24" s="189" t="s">
        <v>914</v>
      </c>
      <c r="C24" s="179" t="s">
        <v>2722</v>
      </c>
      <c r="D24" s="174" t="s">
        <v>486</v>
      </c>
      <c r="E24" s="174" t="s">
        <v>148</v>
      </c>
      <c r="F24" s="176">
        <v>44497</v>
      </c>
      <c r="G24" s="174" t="s">
        <v>7</v>
      </c>
      <c r="H24" s="174" t="s">
        <v>14</v>
      </c>
      <c r="I24" s="190"/>
    </row>
    <row r="25" spans="1:9">
      <c r="B25" s="189" t="s">
        <v>916</v>
      </c>
      <c r="C25" s="179" t="s">
        <v>2723</v>
      </c>
      <c r="D25" s="174" t="s">
        <v>486</v>
      </c>
      <c r="E25" s="174" t="s">
        <v>148</v>
      </c>
      <c r="F25" s="176">
        <v>44497</v>
      </c>
      <c r="G25" s="174" t="s">
        <v>7</v>
      </c>
      <c r="H25" s="174" t="s">
        <v>14</v>
      </c>
      <c r="I25" s="190"/>
    </row>
    <row r="26" spans="1:9" ht="16.5" customHeight="1" thickBot="1">
      <c r="B26" s="197" t="s">
        <v>918</v>
      </c>
      <c r="C26" s="198" t="s">
        <v>919</v>
      </c>
      <c r="D26" s="191" t="s">
        <v>486</v>
      </c>
      <c r="E26" s="191" t="s">
        <v>148</v>
      </c>
      <c r="F26" s="193">
        <v>44497</v>
      </c>
      <c r="G26" s="191" t="s">
        <v>7</v>
      </c>
      <c r="H26" s="191" t="s">
        <v>14</v>
      </c>
      <c r="I26" s="194"/>
    </row>
    <row r="27" spans="1:9">
      <c r="A27" s="209">
        <v>8</v>
      </c>
      <c r="B27" s="183" t="s">
        <v>943</v>
      </c>
      <c r="C27" s="195" t="s">
        <v>944</v>
      </c>
      <c r="D27" s="184" t="s">
        <v>203</v>
      </c>
      <c r="E27" s="184" t="s">
        <v>330</v>
      </c>
      <c r="F27" s="186">
        <v>44498</v>
      </c>
      <c r="G27" s="184" t="s">
        <v>7</v>
      </c>
      <c r="H27" s="184" t="s">
        <v>24</v>
      </c>
      <c r="I27" s="196"/>
    </row>
    <row r="28" spans="1:9">
      <c r="B28" s="189" t="s">
        <v>945</v>
      </c>
      <c r="C28" s="179" t="s">
        <v>946</v>
      </c>
      <c r="D28" s="174" t="s">
        <v>203</v>
      </c>
      <c r="E28" s="174" t="s">
        <v>330</v>
      </c>
      <c r="F28" s="176">
        <v>44498</v>
      </c>
      <c r="G28" s="174" t="s">
        <v>12</v>
      </c>
      <c r="H28" s="174" t="s">
        <v>24</v>
      </c>
      <c r="I28" s="190"/>
    </row>
    <row r="29" spans="1:9">
      <c r="B29" s="189" t="s">
        <v>949</v>
      </c>
      <c r="C29" s="179" t="s">
        <v>950</v>
      </c>
      <c r="D29" s="174" t="s">
        <v>203</v>
      </c>
      <c r="E29" s="174" t="s">
        <v>330</v>
      </c>
      <c r="F29" s="176">
        <v>44498</v>
      </c>
      <c r="G29" s="174" t="s">
        <v>7</v>
      </c>
      <c r="H29" s="174" t="s">
        <v>24</v>
      </c>
      <c r="I29" s="190"/>
    </row>
    <row r="30" spans="1:9">
      <c r="B30" s="189" t="s">
        <v>951</v>
      </c>
      <c r="C30" s="179" t="s">
        <v>952</v>
      </c>
      <c r="D30" s="174" t="s">
        <v>203</v>
      </c>
      <c r="E30" s="174" t="s">
        <v>330</v>
      </c>
      <c r="F30" s="176">
        <v>44498</v>
      </c>
      <c r="G30" s="174" t="s">
        <v>7</v>
      </c>
      <c r="H30" s="174" t="s">
        <v>24</v>
      </c>
      <c r="I30" s="190"/>
    </row>
    <row r="31" spans="1:9">
      <c r="B31" s="189" t="s">
        <v>954</v>
      </c>
      <c r="C31" s="179" t="s">
        <v>955</v>
      </c>
      <c r="D31" s="174" t="s">
        <v>203</v>
      </c>
      <c r="E31" s="174" t="s">
        <v>330</v>
      </c>
      <c r="F31" s="176">
        <v>44498</v>
      </c>
      <c r="G31" s="174" t="s">
        <v>12</v>
      </c>
      <c r="H31" s="174" t="s">
        <v>11</v>
      </c>
      <c r="I31" s="190"/>
    </row>
    <row r="32" spans="1:9">
      <c r="B32" s="189" t="s">
        <v>958</v>
      </c>
      <c r="C32" s="179" t="s">
        <v>957</v>
      </c>
      <c r="D32" s="174" t="s">
        <v>203</v>
      </c>
      <c r="E32" s="174" t="s">
        <v>330</v>
      </c>
      <c r="F32" s="176">
        <v>44498</v>
      </c>
      <c r="G32" s="174" t="s">
        <v>12</v>
      </c>
      <c r="H32" s="174" t="s">
        <v>24</v>
      </c>
      <c r="I32" s="190"/>
    </row>
    <row r="33" spans="2:9">
      <c r="B33" s="189" t="s">
        <v>959</v>
      </c>
      <c r="C33" s="179" t="s">
        <v>2537</v>
      </c>
      <c r="D33" s="174" t="s">
        <v>203</v>
      </c>
      <c r="E33" s="174" t="s">
        <v>330</v>
      </c>
      <c r="F33" s="176">
        <v>44498</v>
      </c>
      <c r="G33" s="174" t="s">
        <v>12</v>
      </c>
      <c r="H33" s="174" t="s">
        <v>11</v>
      </c>
      <c r="I33" s="190"/>
    </row>
    <row r="34" spans="2:9" ht="16.5" customHeight="1" thickBot="1">
      <c r="B34" s="197" t="s">
        <v>963</v>
      </c>
      <c r="C34" s="198" t="s">
        <v>2724</v>
      </c>
      <c r="D34" s="191" t="s">
        <v>203</v>
      </c>
      <c r="E34" s="191" t="s">
        <v>330</v>
      </c>
      <c r="F34" s="193">
        <v>44498</v>
      </c>
      <c r="G34" s="191" t="s">
        <v>12</v>
      </c>
      <c r="H34" s="191" t="s">
        <v>180</v>
      </c>
      <c r="I34" s="194" t="s">
        <v>14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6" width="8.75" style="85" customWidth="1"/>
    <col min="17" max="16384" width="8.75" style="85"/>
  </cols>
  <sheetData>
    <row r="1" spans="1:13" s="84" customFormat="1">
      <c r="A1" s="84" t="s">
        <v>2725</v>
      </c>
      <c r="C1" s="111" t="s">
        <v>2726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2727</v>
      </c>
      <c r="M1" s="90">
        <v>44410</v>
      </c>
    </row>
    <row r="2" spans="1:13">
      <c r="A2" s="85" t="s">
        <v>2728</v>
      </c>
      <c r="C2" s="86" t="s">
        <v>2729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2728</v>
      </c>
      <c r="C3" s="93" t="s">
        <v>2730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2728</v>
      </c>
      <c r="C4" s="93" t="s">
        <v>2731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2732</v>
      </c>
      <c r="C5" s="86" t="s">
        <v>2733</v>
      </c>
      <c r="D5" s="92">
        <v>3</v>
      </c>
      <c r="E5" s="92" t="s">
        <v>2734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2732</v>
      </c>
      <c r="B6" s="85" t="s">
        <v>54</v>
      </c>
      <c r="C6" s="93" t="s">
        <v>2735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2732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2736</v>
      </c>
      <c r="K7" s="91">
        <v>2</v>
      </c>
      <c r="L7" s="91">
        <v>2</v>
      </c>
      <c r="M7" s="91">
        <v>2</v>
      </c>
    </row>
    <row r="8" spans="1:13">
      <c r="A8" s="85" t="s">
        <v>2732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2732</v>
      </c>
      <c r="B9" s="85" t="s">
        <v>54</v>
      </c>
      <c r="C9" s="93" t="s">
        <v>12</v>
      </c>
      <c r="D9" s="92" t="s">
        <v>2737</v>
      </c>
      <c r="E9" s="91" t="s">
        <v>2736</v>
      </c>
      <c r="F9" s="91" t="s">
        <v>2736</v>
      </c>
      <c r="G9" s="91">
        <v>2</v>
      </c>
      <c r="H9" s="91" t="s">
        <v>2736</v>
      </c>
      <c r="I9" s="91">
        <v>2</v>
      </c>
      <c r="J9" s="91" t="s">
        <v>2736</v>
      </c>
      <c r="K9" s="91" t="s">
        <v>2736</v>
      </c>
      <c r="L9" s="91">
        <v>2</v>
      </c>
      <c r="M9" s="91">
        <v>2</v>
      </c>
    </row>
    <row r="10" spans="1:13">
      <c r="A10" s="85" t="s">
        <v>2732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2737</v>
      </c>
      <c r="H10" s="91" t="s">
        <v>2734</v>
      </c>
      <c r="I10" s="92" t="s">
        <v>2737</v>
      </c>
      <c r="J10" s="91" t="s">
        <v>2734</v>
      </c>
      <c r="K10" s="91" t="s">
        <v>2734</v>
      </c>
      <c r="L10" s="91">
        <v>2</v>
      </c>
      <c r="M10" s="91">
        <v>2</v>
      </c>
    </row>
    <row r="11" spans="1:13">
      <c r="A11" s="85" t="s">
        <v>1399</v>
      </c>
      <c r="B11" s="85" t="s">
        <v>55</v>
      </c>
      <c r="C11" s="93" t="s">
        <v>180</v>
      </c>
      <c r="D11" s="91">
        <v>2</v>
      </c>
      <c r="E11" s="91" t="s">
        <v>2736</v>
      </c>
      <c r="F11" s="91">
        <v>2</v>
      </c>
      <c r="G11" s="92" t="s">
        <v>2737</v>
      </c>
      <c r="H11" s="92" t="s">
        <v>2738</v>
      </c>
      <c r="I11" s="91">
        <v>2</v>
      </c>
      <c r="J11" s="91" t="s">
        <v>2736</v>
      </c>
      <c r="K11" s="92">
        <v>4</v>
      </c>
      <c r="M11" s="91">
        <v>2</v>
      </c>
    </row>
    <row r="12" spans="1:13">
      <c r="A12" s="85" t="s">
        <v>1399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2737</v>
      </c>
      <c r="H12" s="91" t="s">
        <v>2739</v>
      </c>
      <c r="I12" s="94" t="s">
        <v>2736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1399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2175</v>
      </c>
      <c r="B14" s="85" t="s">
        <v>55</v>
      </c>
      <c r="C14" s="93" t="s">
        <v>541</v>
      </c>
      <c r="D14" s="94" t="s">
        <v>2734</v>
      </c>
      <c r="E14" s="94" t="s">
        <v>2734</v>
      </c>
      <c r="F14" s="95" t="s">
        <v>2738</v>
      </c>
    </row>
    <row r="15" spans="1:13">
      <c r="A15" s="85" t="s">
        <v>2175</v>
      </c>
      <c r="B15" s="85" t="s">
        <v>55</v>
      </c>
      <c r="C15" s="93" t="s">
        <v>13</v>
      </c>
      <c r="D15" s="94">
        <v>2</v>
      </c>
      <c r="E15" s="94" t="s">
        <v>2736</v>
      </c>
      <c r="F15" s="95" t="s">
        <v>2737</v>
      </c>
      <c r="G15" s="95" t="s">
        <v>2737</v>
      </c>
      <c r="H15" s="94">
        <v>2</v>
      </c>
      <c r="I15" s="94" t="s">
        <v>2736</v>
      </c>
      <c r="J15" s="94" t="s">
        <v>2736</v>
      </c>
      <c r="K15" s="95" t="s">
        <v>2737</v>
      </c>
      <c r="L15" s="94">
        <v>2</v>
      </c>
      <c r="M15" s="94">
        <v>2</v>
      </c>
    </row>
    <row r="16" spans="1:13">
      <c r="A16" s="85" t="s">
        <v>2175</v>
      </c>
      <c r="B16" s="85" t="s">
        <v>2740</v>
      </c>
      <c r="C16" s="93" t="s">
        <v>27</v>
      </c>
      <c r="I16" s="94">
        <v>2</v>
      </c>
      <c r="J16" s="91">
        <v>1</v>
      </c>
      <c r="K16" s="94" t="s">
        <v>2736</v>
      </c>
      <c r="L16" s="94"/>
      <c r="M16" s="94">
        <v>2</v>
      </c>
    </row>
    <row r="17" spans="1:13">
      <c r="A17" s="85" t="s">
        <v>2175</v>
      </c>
      <c r="B17" s="85" t="s">
        <v>2740</v>
      </c>
      <c r="C17" s="93" t="s">
        <v>15</v>
      </c>
      <c r="G17" s="91">
        <v>1</v>
      </c>
      <c r="I17" s="95" t="s">
        <v>2738</v>
      </c>
      <c r="J17" s="95">
        <v>4</v>
      </c>
      <c r="K17" s="94" t="s">
        <v>2736</v>
      </c>
      <c r="L17" s="94"/>
      <c r="M17" s="94">
        <v>2</v>
      </c>
    </row>
    <row r="18" spans="1:13">
      <c r="A18" s="85" t="s">
        <v>2175</v>
      </c>
      <c r="B18" s="85" t="s">
        <v>2740</v>
      </c>
      <c r="C18" s="93" t="s">
        <v>20</v>
      </c>
      <c r="I18" s="94" t="s">
        <v>2734</v>
      </c>
      <c r="J18" s="94">
        <v>2</v>
      </c>
      <c r="K18" s="91" t="s">
        <v>2739</v>
      </c>
      <c r="M18" s="94">
        <v>2</v>
      </c>
    </row>
    <row r="19" spans="1:13">
      <c r="A19" s="85" t="s">
        <v>1014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1014</v>
      </c>
      <c r="B20" s="85" t="s">
        <v>55</v>
      </c>
      <c r="C20" s="86" t="s">
        <v>25</v>
      </c>
      <c r="M20" s="94">
        <v>2</v>
      </c>
    </row>
    <row r="21" spans="1:13">
      <c r="A21" s="85" t="s">
        <v>1014</v>
      </c>
      <c r="B21" s="85" t="s">
        <v>55</v>
      </c>
      <c r="C21" s="86" t="s">
        <v>21</v>
      </c>
      <c r="M21" s="94">
        <v>2</v>
      </c>
    </row>
    <row r="22" spans="1:13">
      <c r="A22" s="85" t="s">
        <v>2244</v>
      </c>
      <c r="B22" s="85" t="s">
        <v>55</v>
      </c>
      <c r="C22" s="93" t="s">
        <v>249</v>
      </c>
      <c r="H22" s="91">
        <v>1</v>
      </c>
      <c r="J22" s="91" t="s">
        <v>2741</v>
      </c>
      <c r="K22" s="95" t="s">
        <v>2737</v>
      </c>
      <c r="M22" s="94">
        <v>2</v>
      </c>
    </row>
    <row r="23" spans="1:13">
      <c r="A23" s="85" t="s">
        <v>2244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2741</v>
      </c>
      <c r="M23" s="94">
        <v>2</v>
      </c>
    </row>
    <row r="24" spans="1:13">
      <c r="A24" s="85" t="s">
        <v>2244</v>
      </c>
      <c r="B24" s="85" t="s">
        <v>55</v>
      </c>
      <c r="C24" s="86" t="s">
        <v>28</v>
      </c>
      <c r="M24" s="94">
        <v>2</v>
      </c>
    </row>
    <row r="25" spans="1:13">
      <c r="A25" s="85" t="s">
        <v>2244</v>
      </c>
      <c r="B25" s="85" t="s">
        <v>55</v>
      </c>
      <c r="C25" s="86" t="s">
        <v>2241</v>
      </c>
      <c r="M25" s="91">
        <v>1</v>
      </c>
    </row>
    <row r="26" spans="1:13">
      <c r="A26" s="85" t="s">
        <v>2244</v>
      </c>
      <c r="B26" s="85" t="s">
        <v>55</v>
      </c>
      <c r="C26" s="86" t="s">
        <v>2259</v>
      </c>
      <c r="M26" s="94">
        <v>2</v>
      </c>
    </row>
    <row r="29" spans="1:13" hidden="1">
      <c r="A29" s="85" t="s">
        <v>2742</v>
      </c>
      <c r="C29" s="86" t="s">
        <v>203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2742</v>
      </c>
      <c r="C30" s="86" t="s">
        <v>147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2742</v>
      </c>
      <c r="C31" s="86" t="s">
        <v>2743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2742</v>
      </c>
      <c r="C32" s="86" t="s">
        <v>148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2742</v>
      </c>
      <c r="C33" s="86" t="s">
        <v>330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2742</v>
      </c>
      <c r="C34" s="86" t="s">
        <v>204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2742</v>
      </c>
      <c r="C35" s="86" t="s">
        <v>239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2744</v>
      </c>
    </row>
    <row r="38" spans="1:13">
      <c r="B38" s="85">
        <v>2</v>
      </c>
      <c r="C38" s="85" t="s">
        <v>2745</v>
      </c>
    </row>
    <row r="39" spans="1:13">
      <c r="B39" s="85">
        <v>3</v>
      </c>
      <c r="C39" s="85" t="s">
        <v>2746</v>
      </c>
    </row>
    <row r="40" spans="1:13">
      <c r="B40" s="85">
        <v>4</v>
      </c>
      <c r="C40" s="112" t="s">
        <v>2747</v>
      </c>
    </row>
    <row r="41" spans="1:13">
      <c r="B41" s="87"/>
      <c r="C41" s="85" t="s">
        <v>2748</v>
      </c>
    </row>
    <row r="42" spans="1:13" ht="15.75" customHeight="1">
      <c r="B42" s="85" t="s">
        <v>2749</v>
      </c>
      <c r="C42" s="104" t="s">
        <v>2750</v>
      </c>
    </row>
    <row r="43" spans="1:13" ht="15.75" customHeight="1">
      <c r="B43" s="85" t="s">
        <v>1020</v>
      </c>
      <c r="C43" s="104" t="s">
        <v>2751</v>
      </c>
    </row>
    <row r="45" spans="1:13" ht="15.75" customHeight="1">
      <c r="C45" s="105" t="s">
        <v>2752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工作表2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2021-11-23T02:18:44Z</dcterms:modified>
</cp:coreProperties>
</file>