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8927FAEB-6F47-4A3B-A78B-CD8820047EBE}" xr6:coauthVersionLast="47" xr6:coauthVersionMax="47" xr10:uidLastSave="{00000000-0000-0000-0000-000000000000}"/>
  <bookViews>
    <workbookView xWindow="-110" yWindow="-110" windowWidth="19420" windowHeight="10560" tabRatio="665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0" r:id="rId34"/>
    <pivotCache cacheId="1" r:id="rId35"/>
    <pivotCache cacheId="2" r:id="rId36"/>
    <pivotCache cacheId="3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02" i="5" l="1"/>
  <c r="AV102" i="5"/>
  <c r="AU102" i="5"/>
  <c r="AT102" i="5"/>
  <c r="AS102" i="5"/>
  <c r="AR102" i="5"/>
  <c r="AQ102" i="5"/>
  <c r="AI102" i="5"/>
  <c r="Z102" i="5"/>
  <c r="AW267" i="5"/>
  <c r="AV267" i="5"/>
  <c r="AU267" i="5"/>
  <c r="AT267" i="5"/>
  <c r="AS267" i="5"/>
  <c r="AR267" i="5"/>
  <c r="AQ267" i="5"/>
  <c r="AI267" i="5"/>
  <c r="Z267" i="5"/>
  <c r="Z400" i="5"/>
  <c r="AU400" i="5"/>
  <c r="AQ400" i="5"/>
  <c r="AT400" i="5"/>
  <c r="AV400" i="5"/>
  <c r="AW400" i="5"/>
  <c r="O403" i="5"/>
  <c r="AU403" i="5" s="1"/>
  <c r="Z403" i="5"/>
  <c r="AQ403" i="5"/>
  <c r="AW403" i="5"/>
  <c r="O401" i="5"/>
  <c r="AU401" i="5" s="1"/>
  <c r="Z401" i="5"/>
  <c r="AQ401" i="5"/>
  <c r="AW401" i="5"/>
  <c r="O402" i="5"/>
  <c r="AU402" i="5" s="1"/>
  <c r="Z402" i="5"/>
  <c r="AQ402" i="5"/>
  <c r="AW402" i="5"/>
  <c r="O404" i="5"/>
  <c r="AU404" i="5" s="1"/>
  <c r="Z404" i="5"/>
  <c r="AQ404" i="5"/>
  <c r="AW404" i="5"/>
  <c r="I580" i="7"/>
  <c r="H580" i="7"/>
  <c r="L12" i="33"/>
  <c r="L11" i="33"/>
  <c r="L10" i="33"/>
  <c r="L9" i="33"/>
  <c r="L8" i="33"/>
  <c r="L7" i="33"/>
  <c r="L6" i="33"/>
  <c r="C27" i="22"/>
  <c r="B27" i="22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417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3" i="5"/>
  <c r="AW104" i="5"/>
  <c r="AW163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263" i="5"/>
  <c r="AW264" i="5"/>
  <c r="AW265" i="5"/>
  <c r="AW176" i="5"/>
  <c r="AW177" i="5"/>
  <c r="AW266" i="5"/>
  <c r="AW268" i="5"/>
  <c r="AW283" i="5"/>
  <c r="AW284" i="5"/>
  <c r="AW285" i="5"/>
  <c r="AW330" i="5"/>
  <c r="AW331" i="5"/>
  <c r="AW332" i="5"/>
  <c r="AW333" i="5"/>
  <c r="AW334" i="5"/>
  <c r="AW336" i="5"/>
  <c r="AW337" i="5"/>
  <c r="AW338" i="5"/>
  <c r="AW339" i="5"/>
  <c r="AW340" i="5"/>
  <c r="AW341" i="5"/>
  <c r="AW344" i="5"/>
  <c r="AW345" i="5"/>
  <c r="AW286" i="5"/>
  <c r="AW317" i="5"/>
  <c r="AW324" i="5"/>
  <c r="AW325" i="5"/>
  <c r="AW326" i="5"/>
  <c r="AW327" i="5"/>
  <c r="AW328" i="5"/>
  <c r="AW329" i="5"/>
  <c r="AW346" i="5"/>
  <c r="AW354" i="5"/>
  <c r="AW260" i="5"/>
  <c r="AW261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167" i="5"/>
  <c r="AW168" i="5"/>
  <c r="AW169" i="5"/>
  <c r="AW170" i="5"/>
  <c r="AW171" i="5"/>
  <c r="AW172" i="5"/>
  <c r="AW173" i="5"/>
  <c r="AW174" i="5"/>
  <c r="AW175" i="5"/>
  <c r="AW164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178" i="5"/>
  <c r="AW179" i="5"/>
  <c r="AW180" i="5"/>
  <c r="AW181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405" i="5"/>
  <c r="AW318" i="5"/>
  <c r="AW319" i="5"/>
  <c r="AW320" i="5"/>
  <c r="AW321" i="5"/>
  <c r="AW322" i="5"/>
  <c r="AW323" i="5"/>
  <c r="AW416" i="5"/>
  <c r="AW406" i="5"/>
  <c r="AW407" i="5"/>
  <c r="AW408" i="5"/>
  <c r="AW409" i="5"/>
  <c r="AW410" i="5"/>
  <c r="AW411" i="5"/>
  <c r="AW412" i="5"/>
  <c r="AW413" i="5"/>
  <c r="AW414" i="5"/>
  <c r="AW415" i="5"/>
  <c r="AW335" i="5"/>
  <c r="AW159" i="5"/>
  <c r="AW160" i="5"/>
  <c r="AW161" i="5"/>
  <c r="AW162" i="5"/>
  <c r="AW64" i="5"/>
  <c r="AW105" i="5"/>
  <c r="AW342" i="5"/>
  <c r="AW343" i="5"/>
  <c r="AW156" i="5"/>
  <c r="AW157" i="5"/>
  <c r="AW158" i="5"/>
  <c r="AW347" i="5"/>
  <c r="AW348" i="5"/>
  <c r="AW349" i="5"/>
  <c r="AW350" i="5"/>
  <c r="AW351" i="5"/>
  <c r="AW352" i="5"/>
  <c r="AW353" i="5"/>
  <c r="AW355" i="5"/>
  <c r="AW366" i="5"/>
  <c r="AW356" i="5"/>
  <c r="AW357" i="5"/>
  <c r="AW358" i="5"/>
  <c r="AW359" i="5"/>
  <c r="AW360" i="5"/>
  <c r="AW361" i="5"/>
  <c r="AW362" i="5"/>
  <c r="AW363" i="5"/>
  <c r="AW364" i="5"/>
  <c r="AW365" i="5"/>
  <c r="AW368" i="5"/>
  <c r="AW367" i="5"/>
  <c r="AW370" i="5"/>
  <c r="AW369" i="5"/>
  <c r="AW371" i="5"/>
  <c r="AW374" i="5"/>
  <c r="AW372" i="5"/>
  <c r="AW373" i="5"/>
  <c r="AW262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182" i="5"/>
  <c r="AW183" i="5"/>
  <c r="AW184" i="5"/>
  <c r="AW185" i="5"/>
  <c r="AW396" i="5"/>
  <c r="AW397" i="5"/>
  <c r="AW186" i="5"/>
  <c r="AW187" i="5"/>
  <c r="AW188" i="5"/>
  <c r="AW165" i="5"/>
  <c r="AW189" i="5"/>
  <c r="AW190" i="5"/>
  <c r="AW258" i="5"/>
  <c r="AW259" i="5"/>
  <c r="AW398" i="5"/>
  <c r="AW399" i="5"/>
  <c r="AW166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550" i="5"/>
  <c r="AW551" i="5"/>
  <c r="AW552" i="5"/>
  <c r="AW553" i="5"/>
  <c r="AW554" i="5"/>
  <c r="AW555" i="5"/>
  <c r="AW556" i="5"/>
  <c r="AW2" i="5"/>
  <c r="D27" i="22" l="1"/>
  <c r="AI402" i="5"/>
  <c r="AI404" i="5"/>
  <c r="AI403" i="5"/>
  <c r="AI401" i="5"/>
  <c r="AS400" i="5"/>
  <c r="AR400" i="5"/>
  <c r="AT401" i="5"/>
  <c r="AS401" i="5"/>
  <c r="AT403" i="5"/>
  <c r="AS403" i="5"/>
  <c r="AR403" i="5"/>
  <c r="AV401" i="5"/>
  <c r="AV404" i="5"/>
  <c r="AR401" i="5"/>
  <c r="AV403" i="5"/>
  <c r="AT402" i="5"/>
  <c r="AS402" i="5"/>
  <c r="AR402" i="5"/>
  <c r="AT404" i="5"/>
  <c r="AS404" i="5"/>
  <c r="AV402" i="5"/>
  <c r="AR404" i="5"/>
  <c r="D6" i="33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6" i="7" l="1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O236" i="5" l="1"/>
  <c r="AT236" i="5" s="1"/>
  <c r="Z236" i="5"/>
  <c r="AQ236" i="5"/>
  <c r="AT191" i="5"/>
  <c r="AQ191" i="5"/>
  <c r="AS191" i="5"/>
  <c r="AV191" i="5"/>
  <c r="AT188" i="5"/>
  <c r="Z188" i="5"/>
  <c r="AI188" i="5"/>
  <c r="AO188" i="5"/>
  <c r="AQ188" i="5"/>
  <c r="AU188" i="5"/>
  <c r="L14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2" i="5"/>
  <c r="Z322" i="5"/>
  <c r="AI322" i="5"/>
  <c r="AQ322" i="5"/>
  <c r="AT258" i="5"/>
  <c r="AS259" i="5"/>
  <c r="AI258" i="5"/>
  <c r="AI259" i="5"/>
  <c r="AQ258" i="5"/>
  <c r="AQ259" i="5"/>
  <c r="AR258" i="5"/>
  <c r="AS258" i="5"/>
  <c r="AT259" i="5"/>
  <c r="AV258" i="5"/>
  <c r="AV299" i="5"/>
  <c r="AU299" i="5"/>
  <c r="AT299" i="5"/>
  <c r="AS299" i="5"/>
  <c r="AR299" i="5"/>
  <c r="AQ299" i="5"/>
  <c r="AI299" i="5"/>
  <c r="Z299" i="5"/>
  <c r="AX23" i="6"/>
  <c r="AW23" i="6"/>
  <c r="AV23" i="6"/>
  <c r="AU23" i="6"/>
  <c r="AT23" i="6"/>
  <c r="AS23" i="6"/>
  <c r="AR23" i="6"/>
  <c r="AH23" i="6"/>
  <c r="Y23" i="6"/>
  <c r="AT556" i="5"/>
  <c r="Z556" i="5"/>
  <c r="AI556" i="5"/>
  <c r="AQ556" i="5"/>
  <c r="AT555" i="5"/>
  <c r="Z555" i="5"/>
  <c r="AI555" i="5"/>
  <c r="AQ555" i="5"/>
  <c r="AS554" i="5"/>
  <c r="Z554" i="5"/>
  <c r="AI554" i="5"/>
  <c r="AQ554" i="5"/>
  <c r="AR553" i="5"/>
  <c r="Z553" i="5"/>
  <c r="AI553" i="5"/>
  <c r="AQ553" i="5"/>
  <c r="AI236" i="5" l="1"/>
  <c r="AU236" i="5"/>
  <c r="AS236" i="5"/>
  <c r="AV236" i="5"/>
  <c r="AR236" i="5"/>
  <c r="AR191" i="5"/>
  <c r="AU191" i="5"/>
  <c r="AS188" i="5"/>
  <c r="AV188" i="5"/>
  <c r="AR188" i="5"/>
  <c r="C23" i="35"/>
  <c r="C47" i="35"/>
  <c r="C38" i="35"/>
  <c r="C9" i="35"/>
  <c r="C17" i="35"/>
  <c r="C50" i="35"/>
  <c r="C31" i="35"/>
  <c r="AS322" i="5"/>
  <c r="AR322" i="5"/>
  <c r="AV322" i="5"/>
  <c r="AU322" i="5"/>
  <c r="AR259" i="5"/>
  <c r="AV259" i="5"/>
  <c r="AU259" i="5"/>
  <c r="AU258" i="5"/>
  <c r="AS556" i="5"/>
  <c r="AR556" i="5"/>
  <c r="AV556" i="5"/>
  <c r="AU556" i="5"/>
  <c r="AS555" i="5"/>
  <c r="AR555" i="5"/>
  <c r="AV555" i="5"/>
  <c r="AU555" i="5"/>
  <c r="AR554" i="5"/>
  <c r="AV554" i="5"/>
  <c r="AU554" i="5"/>
  <c r="AT554" i="5"/>
  <c r="AV553" i="5"/>
  <c r="AU553" i="5"/>
  <c r="AT553" i="5"/>
  <c r="AS553" i="5"/>
  <c r="AV409" i="5"/>
  <c r="AU409" i="5"/>
  <c r="AT409" i="5"/>
  <c r="AS409" i="5"/>
  <c r="AR409" i="5"/>
  <c r="AQ409" i="5"/>
  <c r="AI409" i="5"/>
  <c r="Z409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I54" i="5"/>
  <c r="Z54" i="5"/>
  <c r="AQ53" i="5"/>
  <c r="AI53" i="5"/>
  <c r="Z53" i="5"/>
  <c r="AV53" i="5" l="1"/>
  <c r="AS53" i="5"/>
  <c r="AR53" i="5"/>
  <c r="AT53" i="5"/>
  <c r="AU53" i="5"/>
  <c r="AV52" i="5" l="1"/>
  <c r="AU52" i="5"/>
  <c r="AT52" i="5"/>
  <c r="AS52" i="5"/>
  <c r="AR52" i="5"/>
  <c r="AQ52" i="5"/>
  <c r="AI52" i="5"/>
  <c r="Z52" i="5"/>
  <c r="AV51" i="5"/>
  <c r="AU51" i="5"/>
  <c r="AT51" i="5"/>
  <c r="AS51" i="5"/>
  <c r="AR51" i="5"/>
  <c r="AQ51" i="5"/>
  <c r="AI51" i="5"/>
  <c r="Z51" i="5"/>
  <c r="AS17" i="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417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3" i="5"/>
  <c r="AQ104" i="5"/>
  <c r="AQ163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344" i="5"/>
  <c r="AQ399" i="5"/>
  <c r="AQ345" i="5"/>
  <c r="AQ176" i="5"/>
  <c r="AQ177" i="5"/>
  <c r="AQ266" i="5"/>
  <c r="AQ325" i="5"/>
  <c r="AQ263" i="5"/>
  <c r="AQ286" i="5"/>
  <c r="AQ336" i="5"/>
  <c r="AQ370" i="5"/>
  <c r="AQ337" i="5"/>
  <c r="AQ371" i="5"/>
  <c r="AQ265" i="5"/>
  <c r="AQ324" i="5"/>
  <c r="AQ284" i="5"/>
  <c r="AQ328" i="5"/>
  <c r="AQ334" i="5"/>
  <c r="AQ368" i="5"/>
  <c r="AQ264" i="5"/>
  <c r="AQ317" i="5"/>
  <c r="AQ333" i="5"/>
  <c r="AQ366" i="5"/>
  <c r="AQ268" i="5"/>
  <c r="AQ326" i="5"/>
  <c r="AQ283" i="5"/>
  <c r="AQ327" i="5"/>
  <c r="AQ330" i="5"/>
  <c r="AQ346" i="5"/>
  <c r="AQ332" i="5"/>
  <c r="AQ355" i="5"/>
  <c r="AQ338" i="5"/>
  <c r="AQ374" i="5"/>
  <c r="AQ260" i="5"/>
  <c r="AQ26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167" i="5"/>
  <c r="AQ168" i="5"/>
  <c r="AQ169" i="5"/>
  <c r="AQ170" i="5"/>
  <c r="AQ171" i="5"/>
  <c r="AQ172" i="5"/>
  <c r="AQ173" i="5"/>
  <c r="AQ174" i="5"/>
  <c r="AQ175" i="5"/>
  <c r="AQ164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178" i="5"/>
  <c r="AQ179" i="5"/>
  <c r="AQ180" i="5"/>
  <c r="AQ181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405" i="5"/>
  <c r="AQ318" i="5"/>
  <c r="AQ319" i="5"/>
  <c r="AQ320" i="5"/>
  <c r="AQ321" i="5"/>
  <c r="AQ323" i="5"/>
  <c r="AQ416" i="5"/>
  <c r="AQ406" i="5"/>
  <c r="AQ407" i="5"/>
  <c r="AQ408" i="5"/>
  <c r="AQ410" i="5"/>
  <c r="AQ411" i="5"/>
  <c r="AQ412" i="5"/>
  <c r="AQ413" i="5"/>
  <c r="AQ414" i="5"/>
  <c r="AQ415" i="5"/>
  <c r="AQ335" i="5"/>
  <c r="AQ159" i="5"/>
  <c r="AQ160" i="5"/>
  <c r="AQ161" i="5"/>
  <c r="AQ162" i="5"/>
  <c r="AQ64" i="5"/>
  <c r="AQ105" i="5"/>
  <c r="AQ342" i="5"/>
  <c r="AQ343" i="5"/>
  <c r="AQ156" i="5"/>
  <c r="AQ157" i="5"/>
  <c r="AQ158" i="5"/>
  <c r="AQ347" i="5"/>
  <c r="AQ348" i="5"/>
  <c r="AQ349" i="5"/>
  <c r="AQ350" i="5"/>
  <c r="AQ351" i="5"/>
  <c r="AQ352" i="5"/>
  <c r="AQ353" i="5"/>
  <c r="AQ340" i="5"/>
  <c r="AQ397" i="5"/>
  <c r="AQ356" i="5"/>
  <c r="AQ357" i="5"/>
  <c r="AQ358" i="5"/>
  <c r="AQ359" i="5"/>
  <c r="AQ360" i="5"/>
  <c r="AQ361" i="5"/>
  <c r="AQ362" i="5"/>
  <c r="AQ363" i="5"/>
  <c r="AQ364" i="5"/>
  <c r="AQ365" i="5"/>
  <c r="AQ341" i="5"/>
  <c r="AQ367" i="5"/>
  <c r="AQ398" i="5"/>
  <c r="AQ369" i="5"/>
  <c r="AQ339" i="5"/>
  <c r="AQ396" i="5"/>
  <c r="AQ372" i="5"/>
  <c r="AQ373" i="5"/>
  <c r="AQ262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182" i="5"/>
  <c r="AQ183" i="5"/>
  <c r="AQ184" i="5"/>
  <c r="AQ185" i="5"/>
  <c r="AQ331" i="5"/>
  <c r="AQ354" i="5"/>
  <c r="AQ186" i="5"/>
  <c r="AQ187" i="5"/>
  <c r="AQ165" i="5"/>
  <c r="AQ189" i="5"/>
  <c r="AQ190" i="5"/>
  <c r="AQ285" i="5"/>
  <c r="AQ329" i="5"/>
  <c r="AQ166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547" i="5"/>
  <c r="AQ548" i="5"/>
  <c r="AQ549" i="5"/>
  <c r="AQ550" i="5"/>
  <c r="AQ551" i="5"/>
  <c r="AQ552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7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6" i="5"/>
  <c r="AS325" i="5"/>
  <c r="AS263" i="5"/>
  <c r="AS286" i="5"/>
  <c r="AS336" i="5"/>
  <c r="AS370" i="5"/>
  <c r="AS337" i="5"/>
  <c r="AS371" i="5"/>
  <c r="AS265" i="5"/>
  <c r="AS324" i="5"/>
  <c r="AS284" i="5"/>
  <c r="AS328" i="5"/>
  <c r="AS334" i="5"/>
  <c r="AS368" i="5"/>
  <c r="AS264" i="5"/>
  <c r="AS317" i="5"/>
  <c r="AS333" i="5"/>
  <c r="AS366" i="5"/>
  <c r="AS268" i="5"/>
  <c r="AS326" i="5"/>
  <c r="AS283" i="5"/>
  <c r="AS327" i="5"/>
  <c r="AS330" i="5"/>
  <c r="AS346" i="5"/>
  <c r="AS332" i="5"/>
  <c r="AS355" i="5"/>
  <c r="AS338" i="5"/>
  <c r="AS374" i="5"/>
  <c r="AS260" i="5"/>
  <c r="AS26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167" i="5"/>
  <c r="AS168" i="5"/>
  <c r="AS169" i="5"/>
  <c r="AS170" i="5"/>
  <c r="AS171" i="5"/>
  <c r="AS172" i="5"/>
  <c r="AS173" i="5"/>
  <c r="AS174" i="5"/>
  <c r="AS175" i="5"/>
  <c r="AS164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178" i="5"/>
  <c r="AS179" i="5"/>
  <c r="AS180" i="5"/>
  <c r="AS181" i="5"/>
  <c r="AS287" i="5"/>
  <c r="AS289" i="5"/>
  <c r="AS291" i="5"/>
  <c r="AS292" i="5"/>
  <c r="AS293" i="5"/>
  <c r="AS294" i="5"/>
  <c r="AS296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405" i="5"/>
  <c r="AS318" i="5"/>
  <c r="AS319" i="5"/>
  <c r="AS320" i="5"/>
  <c r="AS321" i="5"/>
  <c r="AS323" i="5"/>
  <c r="AS416" i="5"/>
  <c r="AS406" i="5"/>
  <c r="AS407" i="5"/>
  <c r="AS408" i="5"/>
  <c r="AS410" i="5"/>
  <c r="AS411" i="5"/>
  <c r="AS412" i="5"/>
  <c r="AS413" i="5"/>
  <c r="AS414" i="5"/>
  <c r="AS415" i="5"/>
  <c r="AS335" i="5"/>
  <c r="AS159" i="5"/>
  <c r="AS160" i="5"/>
  <c r="AS161" i="5"/>
  <c r="AS162" i="5"/>
  <c r="AS64" i="5"/>
  <c r="AS105" i="5"/>
  <c r="AS342" i="5"/>
  <c r="AS343" i="5"/>
  <c r="AS156" i="5"/>
  <c r="AS157" i="5"/>
  <c r="AS158" i="5"/>
  <c r="AS347" i="5"/>
  <c r="AS348" i="5"/>
  <c r="AS349" i="5"/>
  <c r="AS350" i="5"/>
  <c r="AS351" i="5"/>
  <c r="AS352" i="5"/>
  <c r="AS353" i="5"/>
  <c r="AS340" i="5"/>
  <c r="AS397" i="5"/>
  <c r="AS356" i="5"/>
  <c r="AS357" i="5"/>
  <c r="AS358" i="5"/>
  <c r="AS359" i="5"/>
  <c r="AS360" i="5"/>
  <c r="AS361" i="5"/>
  <c r="AS362" i="5"/>
  <c r="AS363" i="5"/>
  <c r="AS364" i="5"/>
  <c r="AS365" i="5"/>
  <c r="AS341" i="5"/>
  <c r="AS367" i="5"/>
  <c r="AS398" i="5"/>
  <c r="AS369" i="5"/>
  <c r="AS339" i="5"/>
  <c r="AS396" i="5"/>
  <c r="AS372" i="5"/>
  <c r="AS373" i="5"/>
  <c r="AS262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182" i="5"/>
  <c r="AS183" i="5"/>
  <c r="AS184" i="5"/>
  <c r="AS185" i="5"/>
  <c r="AS331" i="5"/>
  <c r="AS354" i="5"/>
  <c r="AS186" i="5"/>
  <c r="AS187" i="5"/>
  <c r="AS165" i="5"/>
  <c r="AS189" i="5"/>
  <c r="AS190" i="5"/>
  <c r="AS285" i="5"/>
  <c r="AS329" i="5"/>
  <c r="AS166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40" i="5"/>
  <c r="AS543" i="5"/>
  <c r="AS544" i="5"/>
  <c r="AS545" i="5"/>
  <c r="AS546" i="5"/>
  <c r="AS547" i="5"/>
  <c r="AS548" i="5"/>
  <c r="AS549" i="5"/>
  <c r="AS550" i="5"/>
  <c r="AS551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7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6" i="5"/>
  <c r="AV325" i="5"/>
  <c r="AV263" i="5"/>
  <c r="AV286" i="5"/>
  <c r="AV336" i="5"/>
  <c r="AV370" i="5"/>
  <c r="AV337" i="5"/>
  <c r="AV371" i="5"/>
  <c r="AV265" i="5"/>
  <c r="AV324" i="5"/>
  <c r="AV284" i="5"/>
  <c r="AV328" i="5"/>
  <c r="AV334" i="5"/>
  <c r="AV368" i="5"/>
  <c r="AV264" i="5"/>
  <c r="AV317" i="5"/>
  <c r="AV333" i="5"/>
  <c r="AV366" i="5"/>
  <c r="AV268" i="5"/>
  <c r="AV326" i="5"/>
  <c r="AV283" i="5"/>
  <c r="AV327" i="5"/>
  <c r="AV330" i="5"/>
  <c r="AV346" i="5"/>
  <c r="AV332" i="5"/>
  <c r="AV355" i="5"/>
  <c r="AV338" i="5"/>
  <c r="AV374" i="5"/>
  <c r="AV260" i="5"/>
  <c r="AV26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167" i="5"/>
  <c r="AV168" i="5"/>
  <c r="AV169" i="5"/>
  <c r="AV170" i="5"/>
  <c r="AV171" i="5"/>
  <c r="AV172" i="5"/>
  <c r="AV173" i="5"/>
  <c r="AV174" i="5"/>
  <c r="AV175" i="5"/>
  <c r="AV164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178" i="5"/>
  <c r="AV179" i="5"/>
  <c r="AV180" i="5"/>
  <c r="AV181" i="5"/>
  <c r="AV287" i="5"/>
  <c r="AV288" i="5"/>
  <c r="AV289" i="5"/>
  <c r="AV290" i="5"/>
  <c r="AV291" i="5"/>
  <c r="AV292" i="5"/>
  <c r="AV293" i="5"/>
  <c r="AV294" i="5"/>
  <c r="AV296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405" i="5"/>
  <c r="AV318" i="5"/>
  <c r="AV319" i="5"/>
  <c r="AV320" i="5"/>
  <c r="AV321" i="5"/>
  <c r="AV323" i="5"/>
  <c r="AV416" i="5"/>
  <c r="AV406" i="5"/>
  <c r="AV407" i="5"/>
  <c r="AV408" i="5"/>
  <c r="AV410" i="5"/>
  <c r="AV411" i="5"/>
  <c r="AV412" i="5"/>
  <c r="AV413" i="5"/>
  <c r="AV414" i="5"/>
  <c r="AV415" i="5"/>
  <c r="AV335" i="5"/>
  <c r="AV159" i="5"/>
  <c r="AV160" i="5"/>
  <c r="AV161" i="5"/>
  <c r="AV162" i="5"/>
  <c r="AV64" i="5"/>
  <c r="AV105" i="5"/>
  <c r="AV342" i="5"/>
  <c r="AV343" i="5"/>
  <c r="AV156" i="5"/>
  <c r="AV157" i="5"/>
  <c r="AV158" i="5"/>
  <c r="AV347" i="5"/>
  <c r="AV348" i="5"/>
  <c r="AV349" i="5"/>
  <c r="AV350" i="5"/>
  <c r="AV351" i="5"/>
  <c r="AV352" i="5"/>
  <c r="AV353" i="5"/>
  <c r="AV340" i="5"/>
  <c r="AV397" i="5"/>
  <c r="AV356" i="5"/>
  <c r="AV357" i="5"/>
  <c r="AV358" i="5"/>
  <c r="AV359" i="5"/>
  <c r="AV360" i="5"/>
  <c r="AV361" i="5"/>
  <c r="AV362" i="5"/>
  <c r="AV363" i="5"/>
  <c r="AV364" i="5"/>
  <c r="AV365" i="5"/>
  <c r="AV341" i="5"/>
  <c r="AV367" i="5"/>
  <c r="AV398" i="5"/>
  <c r="AV369" i="5"/>
  <c r="AV339" i="5"/>
  <c r="AV396" i="5"/>
  <c r="AV372" i="5"/>
  <c r="AV373" i="5"/>
  <c r="AV262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182" i="5"/>
  <c r="AV183" i="5"/>
  <c r="AV184" i="5"/>
  <c r="AV185" i="5"/>
  <c r="AV331" i="5"/>
  <c r="AV354" i="5"/>
  <c r="AV186" i="5"/>
  <c r="AV187" i="5"/>
  <c r="AV165" i="5"/>
  <c r="AV189" i="5"/>
  <c r="AV190" i="5"/>
  <c r="AV285" i="5"/>
  <c r="AV329" i="5"/>
  <c r="AV166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40" i="5"/>
  <c r="AV543" i="5"/>
  <c r="AV544" i="5"/>
  <c r="AV545" i="5"/>
  <c r="AV546" i="5"/>
  <c r="AV547" i="5"/>
  <c r="AV548" i="5"/>
  <c r="AV549" i="5"/>
  <c r="AV550" i="5"/>
  <c r="AV551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7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6" i="5"/>
  <c r="AU325" i="5"/>
  <c r="AU263" i="5"/>
  <c r="AU286" i="5"/>
  <c r="AU336" i="5"/>
  <c r="AU370" i="5"/>
  <c r="AU337" i="5"/>
  <c r="AU371" i="5"/>
  <c r="AU265" i="5"/>
  <c r="AU324" i="5"/>
  <c r="AU284" i="5"/>
  <c r="AU328" i="5"/>
  <c r="AU334" i="5"/>
  <c r="AU368" i="5"/>
  <c r="AU264" i="5"/>
  <c r="AU317" i="5"/>
  <c r="AU333" i="5"/>
  <c r="AU366" i="5"/>
  <c r="AU268" i="5"/>
  <c r="AU326" i="5"/>
  <c r="AU283" i="5"/>
  <c r="AU327" i="5"/>
  <c r="AU330" i="5"/>
  <c r="AU346" i="5"/>
  <c r="AU332" i="5"/>
  <c r="AU355" i="5"/>
  <c r="AU338" i="5"/>
  <c r="AU374" i="5"/>
  <c r="AU260" i="5"/>
  <c r="AU26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167" i="5"/>
  <c r="AU168" i="5"/>
  <c r="AU169" i="5"/>
  <c r="AU170" i="5"/>
  <c r="AU171" i="5"/>
  <c r="AU172" i="5"/>
  <c r="AU173" i="5"/>
  <c r="AU174" i="5"/>
  <c r="AU175" i="5"/>
  <c r="AU164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178" i="5"/>
  <c r="AU179" i="5"/>
  <c r="AU180" i="5"/>
  <c r="AU181" i="5"/>
  <c r="AU287" i="5"/>
  <c r="AU288" i="5"/>
  <c r="AU289" i="5"/>
  <c r="AU290" i="5"/>
  <c r="AU291" i="5"/>
  <c r="AU292" i="5"/>
  <c r="AU293" i="5"/>
  <c r="AU294" i="5"/>
  <c r="AU296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405" i="5"/>
  <c r="AU318" i="5"/>
  <c r="AU319" i="5"/>
  <c r="AU320" i="5"/>
  <c r="AU321" i="5"/>
  <c r="AU323" i="5"/>
  <c r="AU416" i="5"/>
  <c r="AU406" i="5"/>
  <c r="AU407" i="5"/>
  <c r="AU408" i="5"/>
  <c r="AU410" i="5"/>
  <c r="AU411" i="5"/>
  <c r="AU412" i="5"/>
  <c r="AU413" i="5"/>
  <c r="AU414" i="5"/>
  <c r="AU415" i="5"/>
  <c r="AU335" i="5"/>
  <c r="AU159" i="5"/>
  <c r="AU160" i="5"/>
  <c r="AU161" i="5"/>
  <c r="AU162" i="5"/>
  <c r="AU64" i="5"/>
  <c r="AU105" i="5"/>
  <c r="AU342" i="5"/>
  <c r="AU343" i="5"/>
  <c r="AU156" i="5"/>
  <c r="AU157" i="5"/>
  <c r="AU158" i="5"/>
  <c r="AU347" i="5"/>
  <c r="AU348" i="5"/>
  <c r="AU349" i="5"/>
  <c r="AU350" i="5"/>
  <c r="AU351" i="5"/>
  <c r="AU352" i="5"/>
  <c r="AU353" i="5"/>
  <c r="AU340" i="5"/>
  <c r="AU397" i="5"/>
  <c r="AU356" i="5"/>
  <c r="AU357" i="5"/>
  <c r="AU358" i="5"/>
  <c r="AU359" i="5"/>
  <c r="AU360" i="5"/>
  <c r="AU361" i="5"/>
  <c r="AU362" i="5"/>
  <c r="AU363" i="5"/>
  <c r="AU364" i="5"/>
  <c r="AU365" i="5"/>
  <c r="AU341" i="5"/>
  <c r="AU367" i="5"/>
  <c r="AU398" i="5"/>
  <c r="AU369" i="5"/>
  <c r="AU339" i="5"/>
  <c r="AU396" i="5"/>
  <c r="AU372" i="5"/>
  <c r="AU373" i="5"/>
  <c r="AU262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182" i="5"/>
  <c r="AU183" i="5"/>
  <c r="AU184" i="5"/>
  <c r="AU185" i="5"/>
  <c r="AU331" i="5"/>
  <c r="AU354" i="5"/>
  <c r="AU186" i="5"/>
  <c r="AU187" i="5"/>
  <c r="AU165" i="5"/>
  <c r="AU189" i="5"/>
  <c r="AU190" i="5"/>
  <c r="AU285" i="5"/>
  <c r="AU329" i="5"/>
  <c r="AU166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40" i="5"/>
  <c r="AU543" i="5"/>
  <c r="AU544" i="5"/>
  <c r="AU545" i="5"/>
  <c r="AU546" i="5"/>
  <c r="AU547" i="5"/>
  <c r="AU548" i="5"/>
  <c r="AU549" i="5"/>
  <c r="AU550" i="5"/>
  <c r="AU551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417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76" i="5"/>
  <c r="AT177" i="5"/>
  <c r="AT266" i="5"/>
  <c r="AT325" i="5"/>
  <c r="AT263" i="5"/>
  <c r="AT286" i="5"/>
  <c r="AT336" i="5"/>
  <c r="AT370" i="5"/>
  <c r="AT337" i="5"/>
  <c r="AT371" i="5"/>
  <c r="AT265" i="5"/>
  <c r="AT324" i="5"/>
  <c r="AT284" i="5"/>
  <c r="AT328" i="5"/>
  <c r="AT334" i="5"/>
  <c r="AT368" i="5"/>
  <c r="AT264" i="5"/>
  <c r="AT317" i="5"/>
  <c r="AT333" i="5"/>
  <c r="AT366" i="5"/>
  <c r="AT268" i="5"/>
  <c r="AT326" i="5"/>
  <c r="AT283" i="5"/>
  <c r="AT327" i="5"/>
  <c r="AT330" i="5"/>
  <c r="AT346" i="5"/>
  <c r="AT332" i="5"/>
  <c r="AT355" i="5"/>
  <c r="AT338" i="5"/>
  <c r="AT374" i="5"/>
  <c r="AT260" i="5"/>
  <c r="AT26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167" i="5"/>
  <c r="AT168" i="5"/>
  <c r="AT169" i="5"/>
  <c r="AT170" i="5"/>
  <c r="AT171" i="5"/>
  <c r="AT172" i="5"/>
  <c r="AT173" i="5"/>
  <c r="AT174" i="5"/>
  <c r="AT175" i="5"/>
  <c r="AT164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178" i="5"/>
  <c r="AT179" i="5"/>
  <c r="AT180" i="5"/>
  <c r="AT181" i="5"/>
  <c r="AT287" i="5"/>
  <c r="AT288" i="5"/>
  <c r="AT289" i="5"/>
  <c r="AT290" i="5"/>
  <c r="AT291" i="5"/>
  <c r="AT292" i="5"/>
  <c r="AT293" i="5"/>
  <c r="AT294" i="5"/>
  <c r="AT296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405" i="5"/>
  <c r="AT318" i="5"/>
  <c r="AT319" i="5"/>
  <c r="AT320" i="5"/>
  <c r="AT321" i="5"/>
  <c r="AT323" i="5"/>
  <c r="AT416" i="5"/>
  <c r="AT406" i="5"/>
  <c r="AT407" i="5"/>
  <c r="AT408" i="5"/>
  <c r="AT410" i="5"/>
  <c r="AT411" i="5"/>
  <c r="AT412" i="5"/>
  <c r="AT413" i="5"/>
  <c r="AT414" i="5"/>
  <c r="AT415" i="5"/>
  <c r="AT335" i="5"/>
  <c r="AT159" i="5"/>
  <c r="AT160" i="5"/>
  <c r="AT161" i="5"/>
  <c r="AT162" i="5"/>
  <c r="AT64" i="5"/>
  <c r="AT105" i="5"/>
  <c r="AT342" i="5"/>
  <c r="AT343" i="5"/>
  <c r="AT156" i="5"/>
  <c r="AT157" i="5"/>
  <c r="AT158" i="5"/>
  <c r="AT347" i="5"/>
  <c r="AT348" i="5"/>
  <c r="AT349" i="5"/>
  <c r="AT350" i="5"/>
  <c r="AT351" i="5"/>
  <c r="AT352" i="5"/>
  <c r="AT353" i="5"/>
  <c r="AT340" i="5"/>
  <c r="AT397" i="5"/>
  <c r="AT356" i="5"/>
  <c r="AT357" i="5"/>
  <c r="AT358" i="5"/>
  <c r="AT359" i="5"/>
  <c r="AT360" i="5"/>
  <c r="AT361" i="5"/>
  <c r="AT362" i="5"/>
  <c r="AT363" i="5"/>
  <c r="AT364" i="5"/>
  <c r="AT365" i="5"/>
  <c r="AT341" i="5"/>
  <c r="AT367" i="5"/>
  <c r="AT398" i="5"/>
  <c r="AT369" i="5"/>
  <c r="AT339" i="5"/>
  <c r="AT396" i="5"/>
  <c r="AT372" i="5"/>
  <c r="AT373" i="5"/>
  <c r="AT262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182" i="5"/>
  <c r="AT183" i="5"/>
  <c r="AT184" i="5"/>
  <c r="AT185" i="5"/>
  <c r="AT331" i="5"/>
  <c r="AT354" i="5"/>
  <c r="AT186" i="5"/>
  <c r="AT187" i="5"/>
  <c r="AT165" i="5"/>
  <c r="AT189" i="5"/>
  <c r="AT190" i="5"/>
  <c r="AT285" i="5"/>
  <c r="AT329" i="5"/>
  <c r="AT166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40" i="5"/>
  <c r="AT543" i="5"/>
  <c r="AT544" i="5"/>
  <c r="AT545" i="5"/>
  <c r="AT546" i="5"/>
  <c r="AT547" i="5"/>
  <c r="AT548" i="5"/>
  <c r="AT549" i="5"/>
  <c r="AT550" i="5"/>
  <c r="AT551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417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3" i="5"/>
  <c r="AR104" i="5"/>
  <c r="AR163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76" i="5"/>
  <c r="AR177" i="5"/>
  <c r="AR266" i="5"/>
  <c r="AR325" i="5"/>
  <c r="AR263" i="5"/>
  <c r="AR286" i="5"/>
  <c r="AR336" i="5"/>
  <c r="AR370" i="5"/>
  <c r="AR337" i="5"/>
  <c r="AR371" i="5"/>
  <c r="AR265" i="5"/>
  <c r="AR324" i="5"/>
  <c r="AR284" i="5"/>
  <c r="AR328" i="5"/>
  <c r="AR334" i="5"/>
  <c r="AR368" i="5"/>
  <c r="AR264" i="5"/>
  <c r="AR317" i="5"/>
  <c r="AR333" i="5"/>
  <c r="AR366" i="5"/>
  <c r="AR268" i="5"/>
  <c r="AR326" i="5"/>
  <c r="AR283" i="5"/>
  <c r="AR327" i="5"/>
  <c r="AR330" i="5"/>
  <c r="AR346" i="5"/>
  <c r="AR332" i="5"/>
  <c r="AR355" i="5"/>
  <c r="AR338" i="5"/>
  <c r="AR374" i="5"/>
  <c r="AR260" i="5"/>
  <c r="AR261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167" i="5"/>
  <c r="AR168" i="5"/>
  <c r="AR169" i="5"/>
  <c r="AR170" i="5"/>
  <c r="AR171" i="5"/>
  <c r="AR172" i="5"/>
  <c r="AR173" i="5"/>
  <c r="AR174" i="5"/>
  <c r="AR175" i="5"/>
  <c r="AR164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178" i="5"/>
  <c r="AR179" i="5"/>
  <c r="AR180" i="5"/>
  <c r="AR181" i="5"/>
  <c r="AR287" i="5"/>
  <c r="AR289" i="5"/>
  <c r="AR291" i="5"/>
  <c r="AR292" i="5"/>
  <c r="AR293" i="5"/>
  <c r="AR294" i="5"/>
  <c r="AR296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405" i="5"/>
  <c r="AR416" i="5"/>
  <c r="AR406" i="5"/>
  <c r="AR407" i="5"/>
  <c r="AR408" i="5"/>
  <c r="AR410" i="5"/>
  <c r="AR411" i="5"/>
  <c r="AR412" i="5"/>
  <c r="AR413" i="5"/>
  <c r="AR414" i="5"/>
  <c r="AR415" i="5"/>
  <c r="AR335" i="5"/>
  <c r="AR159" i="5"/>
  <c r="AR160" i="5"/>
  <c r="AR161" i="5"/>
  <c r="AR162" i="5"/>
  <c r="AR64" i="5"/>
  <c r="AR105" i="5"/>
  <c r="AR342" i="5"/>
  <c r="AR343" i="5"/>
  <c r="AR156" i="5"/>
  <c r="AR157" i="5"/>
  <c r="AR158" i="5"/>
  <c r="AR347" i="5"/>
  <c r="AR348" i="5"/>
  <c r="AR349" i="5"/>
  <c r="AR350" i="5"/>
  <c r="AR351" i="5"/>
  <c r="AR352" i="5"/>
  <c r="AR353" i="5"/>
  <c r="AR340" i="5"/>
  <c r="AR397" i="5"/>
  <c r="AR356" i="5"/>
  <c r="AR357" i="5"/>
  <c r="AR358" i="5"/>
  <c r="AR359" i="5"/>
  <c r="AR360" i="5"/>
  <c r="AR361" i="5"/>
  <c r="AR362" i="5"/>
  <c r="AR363" i="5"/>
  <c r="AR364" i="5"/>
  <c r="AR365" i="5"/>
  <c r="AR341" i="5"/>
  <c r="AR367" i="5"/>
  <c r="AR398" i="5"/>
  <c r="AR369" i="5"/>
  <c r="AR339" i="5"/>
  <c r="AR396" i="5"/>
  <c r="AR372" i="5"/>
  <c r="AR373" i="5"/>
  <c r="AR262" i="5"/>
  <c r="AR375" i="5"/>
  <c r="AR376" i="5"/>
  <c r="AR377" i="5"/>
  <c r="AR378" i="5"/>
  <c r="AR394" i="5"/>
  <c r="AR395" i="5"/>
  <c r="AR182" i="5"/>
  <c r="AR183" i="5"/>
  <c r="AR184" i="5"/>
  <c r="AR185" i="5"/>
  <c r="AR331" i="5"/>
  <c r="AR354" i="5"/>
  <c r="AR186" i="5"/>
  <c r="AR187" i="5"/>
  <c r="AR165" i="5"/>
  <c r="AR189" i="5"/>
  <c r="AR285" i="5"/>
  <c r="AR329" i="5"/>
  <c r="AR166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40" i="5"/>
  <c r="AR544" i="5"/>
  <c r="AQ558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I323" i="5"/>
  <c r="Z323" i="5"/>
  <c r="AR323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2" i="5"/>
  <c r="O151" i="5"/>
  <c r="O150" i="5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I415" i="5"/>
  <c r="Z415" i="5"/>
  <c r="R15" i="33"/>
  <c r="P15" i="33"/>
  <c r="S5" i="33"/>
  <c r="S4" i="33"/>
  <c r="S3" i="33"/>
  <c r="Q3" i="33"/>
  <c r="AI232" i="5"/>
  <c r="Z232" i="5"/>
  <c r="AI213" i="5"/>
  <c r="Z213" i="5"/>
  <c r="AI217" i="5"/>
  <c r="Z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I552" i="5"/>
  <c r="Z552" i="5"/>
  <c r="AI551" i="5"/>
  <c r="Z551" i="5"/>
  <c r="AR551" i="5"/>
  <c r="AI550" i="5"/>
  <c r="Z550" i="5"/>
  <c r="AR550" i="5"/>
  <c r="AI549" i="5"/>
  <c r="Z549" i="5"/>
  <c r="AR549" i="5"/>
  <c r="AI548" i="5"/>
  <c r="Z548" i="5"/>
  <c r="AR548" i="5"/>
  <c r="AI547" i="5"/>
  <c r="Z547" i="5"/>
  <c r="AR547" i="5"/>
  <c r="AI546" i="5"/>
  <c r="Z546" i="5"/>
  <c r="AR546" i="5"/>
  <c r="AI545" i="5"/>
  <c r="Z545" i="5"/>
  <c r="AR545" i="5"/>
  <c r="AI544" i="5"/>
  <c r="Z544" i="5"/>
  <c r="Q543" i="5"/>
  <c r="P543" i="5"/>
  <c r="AR543" i="5"/>
  <c r="Q542" i="5"/>
  <c r="P542" i="5"/>
  <c r="O542" i="5"/>
  <c r="Q541" i="5"/>
  <c r="P541" i="5"/>
  <c r="O541" i="5"/>
  <c r="Q540" i="5"/>
  <c r="P540" i="5"/>
  <c r="Q539" i="5"/>
  <c r="P539" i="5"/>
  <c r="O539" i="5"/>
  <c r="Q538" i="5"/>
  <c r="P538" i="5"/>
  <c r="Q537" i="5"/>
  <c r="P537" i="5"/>
  <c r="Q536" i="5"/>
  <c r="P536" i="5"/>
  <c r="Q535" i="5"/>
  <c r="P535" i="5"/>
  <c r="AI534" i="5"/>
  <c r="Z534" i="5"/>
  <c r="P534" i="5"/>
  <c r="Z533" i="5"/>
  <c r="P533" i="5"/>
  <c r="AI533" i="5" s="1"/>
  <c r="AI532" i="5"/>
  <c r="Z532" i="5"/>
  <c r="Z531" i="5"/>
  <c r="P531" i="5"/>
  <c r="AI531" i="5" s="1"/>
  <c r="AI530" i="5"/>
  <c r="Z530" i="5"/>
  <c r="P530" i="5"/>
  <c r="AI529" i="5"/>
  <c r="Z529" i="5"/>
  <c r="AI528" i="5"/>
  <c r="Z528" i="5"/>
  <c r="AI527" i="5"/>
  <c r="Z527" i="5"/>
  <c r="AI526" i="5"/>
  <c r="Z526" i="5"/>
  <c r="AI525" i="5"/>
  <c r="Z525" i="5"/>
  <c r="AI524" i="5"/>
  <c r="Z524" i="5"/>
  <c r="AI523" i="5"/>
  <c r="Z523" i="5"/>
  <c r="AI522" i="5"/>
  <c r="Z522" i="5"/>
  <c r="AI521" i="5"/>
  <c r="Z521" i="5"/>
  <c r="AI520" i="5"/>
  <c r="Z520" i="5"/>
  <c r="AI519" i="5"/>
  <c r="Z519" i="5"/>
  <c r="AI518" i="5"/>
  <c r="Z518" i="5"/>
  <c r="AI517" i="5"/>
  <c r="Z517" i="5"/>
  <c r="AI516" i="5"/>
  <c r="Z516" i="5"/>
  <c r="AI515" i="5"/>
  <c r="Z515" i="5"/>
  <c r="AI514" i="5"/>
  <c r="Z514" i="5"/>
  <c r="AI513" i="5"/>
  <c r="Z513" i="5"/>
  <c r="AI512" i="5"/>
  <c r="Z512" i="5"/>
  <c r="AI511" i="5"/>
  <c r="Z511" i="5"/>
  <c r="AI510" i="5"/>
  <c r="Z510" i="5"/>
  <c r="AI509" i="5"/>
  <c r="Z509" i="5"/>
  <c r="AI508" i="5"/>
  <c r="Z508" i="5"/>
  <c r="AI507" i="5"/>
  <c r="Z507" i="5"/>
  <c r="AI506" i="5"/>
  <c r="Z506" i="5"/>
  <c r="AI505" i="5"/>
  <c r="Z505" i="5"/>
  <c r="AI504" i="5"/>
  <c r="Z504" i="5"/>
  <c r="AI503" i="5"/>
  <c r="Z503" i="5"/>
  <c r="AI502" i="5"/>
  <c r="Z502" i="5"/>
  <c r="AI501" i="5"/>
  <c r="Z501" i="5"/>
  <c r="AI500" i="5"/>
  <c r="Z500" i="5"/>
  <c r="AI499" i="5"/>
  <c r="Z499" i="5"/>
  <c r="AI498" i="5"/>
  <c r="Z498" i="5"/>
  <c r="AI497" i="5"/>
  <c r="Z497" i="5"/>
  <c r="AI496" i="5"/>
  <c r="Z496" i="5"/>
  <c r="AI495" i="5"/>
  <c r="Z495" i="5"/>
  <c r="AI494" i="5"/>
  <c r="Z494" i="5"/>
  <c r="AI493" i="5"/>
  <c r="Z493" i="5"/>
  <c r="AI492" i="5"/>
  <c r="Z492" i="5"/>
  <c r="AR492" i="5"/>
  <c r="AI491" i="5"/>
  <c r="Z491" i="5"/>
  <c r="AR491" i="5"/>
  <c r="AI490" i="5"/>
  <c r="Z490" i="5"/>
  <c r="AR490" i="5"/>
  <c r="AI489" i="5"/>
  <c r="Z489" i="5"/>
  <c r="AR489" i="5"/>
  <c r="AI488" i="5"/>
  <c r="Z488" i="5"/>
  <c r="AR488" i="5"/>
  <c r="AI487" i="5"/>
  <c r="Z487" i="5"/>
  <c r="AR487" i="5"/>
  <c r="AI486" i="5"/>
  <c r="Z486" i="5"/>
  <c r="AR486" i="5"/>
  <c r="AI485" i="5"/>
  <c r="Z485" i="5"/>
  <c r="AR485" i="5"/>
  <c r="AI484" i="5"/>
  <c r="Z484" i="5"/>
  <c r="AR484" i="5"/>
  <c r="AI483" i="5"/>
  <c r="Z483" i="5"/>
  <c r="AR483" i="5"/>
  <c r="AI482" i="5"/>
  <c r="Z482" i="5"/>
  <c r="AR482" i="5"/>
  <c r="AI481" i="5"/>
  <c r="Z481" i="5"/>
  <c r="AR481" i="5"/>
  <c r="AI480" i="5"/>
  <c r="Z480" i="5"/>
  <c r="AR480" i="5"/>
  <c r="AI479" i="5"/>
  <c r="Z479" i="5"/>
  <c r="AR479" i="5"/>
  <c r="AI478" i="5"/>
  <c r="Z478" i="5"/>
  <c r="AR478" i="5"/>
  <c r="AI477" i="5"/>
  <c r="Z477" i="5"/>
  <c r="AR477" i="5"/>
  <c r="AI476" i="5"/>
  <c r="Z476" i="5"/>
  <c r="AR476" i="5"/>
  <c r="AI475" i="5"/>
  <c r="Z475" i="5"/>
  <c r="AR475" i="5"/>
  <c r="AI474" i="5"/>
  <c r="Z474" i="5"/>
  <c r="AR474" i="5"/>
  <c r="AI473" i="5"/>
  <c r="Z473" i="5"/>
  <c r="AR473" i="5"/>
  <c r="AI472" i="5"/>
  <c r="Z472" i="5"/>
  <c r="AR472" i="5"/>
  <c r="AI471" i="5"/>
  <c r="Z471" i="5"/>
  <c r="AR471" i="5"/>
  <c r="AI470" i="5"/>
  <c r="Z470" i="5"/>
  <c r="AR470" i="5"/>
  <c r="AI469" i="5"/>
  <c r="Z469" i="5"/>
  <c r="AR469" i="5"/>
  <c r="AI468" i="5"/>
  <c r="Z468" i="5"/>
  <c r="AR468" i="5"/>
  <c r="AI467" i="5"/>
  <c r="Z467" i="5"/>
  <c r="AR467" i="5"/>
  <c r="AI466" i="5"/>
  <c r="Z466" i="5"/>
  <c r="AR466" i="5"/>
  <c r="AI465" i="5"/>
  <c r="Z465" i="5"/>
  <c r="AR465" i="5"/>
  <c r="AI464" i="5"/>
  <c r="Z464" i="5"/>
  <c r="AR464" i="5"/>
  <c r="AI463" i="5"/>
  <c r="Z463" i="5"/>
  <c r="AR463" i="5"/>
  <c r="AI462" i="5"/>
  <c r="Z462" i="5"/>
  <c r="AR462" i="5"/>
  <c r="AI461" i="5"/>
  <c r="Z461" i="5"/>
  <c r="AR461" i="5"/>
  <c r="AI460" i="5"/>
  <c r="Z460" i="5"/>
  <c r="AR460" i="5"/>
  <c r="AI459" i="5"/>
  <c r="Z459" i="5"/>
  <c r="AR459" i="5"/>
  <c r="AI458" i="5"/>
  <c r="Z458" i="5"/>
  <c r="AR458" i="5"/>
  <c r="AI457" i="5"/>
  <c r="Z457" i="5"/>
  <c r="AR457" i="5"/>
  <c r="AI456" i="5"/>
  <c r="Z456" i="5"/>
  <c r="AR456" i="5"/>
  <c r="AI455" i="5"/>
  <c r="Z455" i="5"/>
  <c r="AI454" i="5"/>
  <c r="Z454" i="5"/>
  <c r="AI453" i="5"/>
  <c r="Z453" i="5"/>
  <c r="AI452" i="5"/>
  <c r="Z452" i="5"/>
  <c r="AI451" i="5"/>
  <c r="Z451" i="5"/>
  <c r="AI450" i="5"/>
  <c r="Z450" i="5"/>
  <c r="AI449" i="5"/>
  <c r="Z449" i="5"/>
  <c r="AI448" i="5"/>
  <c r="Z448" i="5"/>
  <c r="AI447" i="5"/>
  <c r="Z447" i="5"/>
  <c r="AI446" i="5"/>
  <c r="Z446" i="5"/>
  <c r="AI445" i="5"/>
  <c r="Z445" i="5"/>
  <c r="AI444" i="5"/>
  <c r="Z444" i="5"/>
  <c r="AI443" i="5"/>
  <c r="Z443" i="5"/>
  <c r="AI442" i="5"/>
  <c r="Z442" i="5"/>
  <c r="AI441" i="5"/>
  <c r="Z441" i="5"/>
  <c r="AI440" i="5"/>
  <c r="Z440" i="5"/>
  <c r="AI439" i="5"/>
  <c r="Z439" i="5"/>
  <c r="AI438" i="5"/>
  <c r="Z438" i="5"/>
  <c r="AI437" i="5"/>
  <c r="Z437" i="5"/>
  <c r="AI436" i="5"/>
  <c r="Z436" i="5"/>
  <c r="AI435" i="5"/>
  <c r="Z435" i="5"/>
  <c r="AI434" i="5"/>
  <c r="Z434" i="5"/>
  <c r="AI433" i="5"/>
  <c r="Z433" i="5"/>
  <c r="AI432" i="5"/>
  <c r="Z432" i="5"/>
  <c r="AI431" i="5"/>
  <c r="Z431" i="5"/>
  <c r="AI430" i="5"/>
  <c r="Z430" i="5"/>
  <c r="AI429" i="5"/>
  <c r="Z429" i="5"/>
  <c r="AI428" i="5"/>
  <c r="Z428" i="5"/>
  <c r="AI427" i="5"/>
  <c r="Z427" i="5"/>
  <c r="AI426" i="5"/>
  <c r="Z426" i="5"/>
  <c r="AI425" i="5"/>
  <c r="Z425" i="5"/>
  <c r="AI424" i="5"/>
  <c r="Z424" i="5"/>
  <c r="AI423" i="5"/>
  <c r="Z423" i="5"/>
  <c r="AI422" i="5"/>
  <c r="Z422" i="5"/>
  <c r="AI421" i="5"/>
  <c r="Z421" i="5"/>
  <c r="AI420" i="5"/>
  <c r="Z420" i="5"/>
  <c r="AI419" i="5"/>
  <c r="Z419" i="5"/>
  <c r="AI418" i="5"/>
  <c r="Z418" i="5"/>
  <c r="AI190" i="5"/>
  <c r="Z190" i="5"/>
  <c r="AR190" i="5"/>
  <c r="AI189" i="5"/>
  <c r="Z189" i="5"/>
  <c r="AI165" i="5"/>
  <c r="Z165" i="5"/>
  <c r="AI187" i="5"/>
  <c r="Z187" i="5"/>
  <c r="AI186" i="5"/>
  <c r="Z186" i="5"/>
  <c r="AI354" i="5"/>
  <c r="Z354" i="5"/>
  <c r="AI331" i="5"/>
  <c r="Z331" i="5"/>
  <c r="AI166" i="5"/>
  <c r="Z166" i="5"/>
  <c r="AI185" i="5"/>
  <c r="Z185" i="5"/>
  <c r="AI184" i="5"/>
  <c r="Z184" i="5"/>
  <c r="AI329" i="5"/>
  <c r="Z329" i="5"/>
  <c r="AI285" i="5"/>
  <c r="Z285" i="5"/>
  <c r="AI183" i="5"/>
  <c r="Z183" i="5"/>
  <c r="AI182" i="5"/>
  <c r="Z182" i="5"/>
  <c r="AI395" i="5"/>
  <c r="Z395" i="5"/>
  <c r="AI394" i="5"/>
  <c r="Z394" i="5"/>
  <c r="AI393" i="5"/>
  <c r="Z393" i="5"/>
  <c r="AR393" i="5"/>
  <c r="AI392" i="5"/>
  <c r="Z392" i="5"/>
  <c r="AR392" i="5"/>
  <c r="AI391" i="5"/>
  <c r="Z391" i="5"/>
  <c r="AR391" i="5"/>
  <c r="AI390" i="5"/>
  <c r="Z390" i="5"/>
  <c r="AR390" i="5"/>
  <c r="AI389" i="5"/>
  <c r="Z389" i="5"/>
  <c r="AR389" i="5"/>
  <c r="AI388" i="5"/>
  <c r="Z388" i="5"/>
  <c r="AR388" i="5"/>
  <c r="AI387" i="5"/>
  <c r="Z387" i="5"/>
  <c r="AR387" i="5"/>
  <c r="AI386" i="5"/>
  <c r="Z386" i="5"/>
  <c r="AR386" i="5"/>
  <c r="AI385" i="5"/>
  <c r="Z385" i="5"/>
  <c r="AR385" i="5"/>
  <c r="AI384" i="5"/>
  <c r="Z384" i="5"/>
  <c r="AR384" i="5"/>
  <c r="AI383" i="5"/>
  <c r="Z383" i="5"/>
  <c r="AR383" i="5"/>
  <c r="AI382" i="5"/>
  <c r="Z382" i="5"/>
  <c r="AR382" i="5"/>
  <c r="AI381" i="5"/>
  <c r="Z381" i="5"/>
  <c r="AR381" i="5"/>
  <c r="AI380" i="5"/>
  <c r="Z380" i="5"/>
  <c r="AR380" i="5"/>
  <c r="AI379" i="5"/>
  <c r="Z379" i="5"/>
  <c r="AR379" i="5"/>
  <c r="AI378" i="5"/>
  <c r="Z378" i="5"/>
  <c r="AI377" i="5"/>
  <c r="Z377" i="5"/>
  <c r="AI376" i="5"/>
  <c r="Z376" i="5"/>
  <c r="AI375" i="5"/>
  <c r="Z375" i="5"/>
  <c r="AI262" i="5"/>
  <c r="Z262" i="5"/>
  <c r="AI373" i="5"/>
  <c r="Z373" i="5"/>
  <c r="AI372" i="5"/>
  <c r="Z372" i="5"/>
  <c r="AI396" i="5"/>
  <c r="Z396" i="5"/>
  <c r="AI339" i="5"/>
  <c r="Z339" i="5"/>
  <c r="AI369" i="5"/>
  <c r="Z369" i="5"/>
  <c r="AI398" i="5"/>
  <c r="Z398" i="5"/>
  <c r="AI367" i="5"/>
  <c r="Z367" i="5"/>
  <c r="AI341" i="5"/>
  <c r="Z341" i="5"/>
  <c r="AI365" i="5"/>
  <c r="Z365" i="5"/>
  <c r="AI364" i="5"/>
  <c r="Z364" i="5"/>
  <c r="AI363" i="5"/>
  <c r="Z363" i="5"/>
  <c r="AI362" i="5"/>
  <c r="Z362" i="5"/>
  <c r="AI361" i="5"/>
  <c r="Z361" i="5"/>
  <c r="AI360" i="5"/>
  <c r="Z360" i="5"/>
  <c r="AI359" i="5"/>
  <c r="Z359" i="5"/>
  <c r="AI358" i="5"/>
  <c r="Z358" i="5"/>
  <c r="AI357" i="5"/>
  <c r="Z357" i="5"/>
  <c r="AI356" i="5"/>
  <c r="Z356" i="5"/>
  <c r="AI397" i="5"/>
  <c r="Z397" i="5"/>
  <c r="AI340" i="5"/>
  <c r="Z340" i="5"/>
  <c r="AI351" i="5"/>
  <c r="Z351" i="5"/>
  <c r="AI350" i="5"/>
  <c r="Z350" i="5"/>
  <c r="AI349" i="5"/>
  <c r="Z349" i="5"/>
  <c r="AI348" i="5"/>
  <c r="Z348" i="5"/>
  <c r="AI347" i="5"/>
  <c r="Z347" i="5"/>
  <c r="AI158" i="5"/>
  <c r="Z158" i="5"/>
  <c r="AI157" i="5"/>
  <c r="Z157" i="5"/>
  <c r="AI156" i="5"/>
  <c r="Z156" i="5"/>
  <c r="AI343" i="5"/>
  <c r="Z343" i="5"/>
  <c r="AI342" i="5"/>
  <c r="Z342" i="5"/>
  <c r="AI105" i="5"/>
  <c r="Z105" i="5"/>
  <c r="AI64" i="5"/>
  <c r="Z64" i="5"/>
  <c r="AI162" i="5"/>
  <c r="Z162" i="5"/>
  <c r="AI161" i="5"/>
  <c r="Z161" i="5"/>
  <c r="AI160" i="5"/>
  <c r="Z160" i="5"/>
  <c r="AI159" i="5"/>
  <c r="Z159" i="5"/>
  <c r="AI335" i="5"/>
  <c r="Z335" i="5"/>
  <c r="AI414" i="5"/>
  <c r="Z414" i="5"/>
  <c r="AI413" i="5"/>
  <c r="Z413" i="5"/>
  <c r="AI412" i="5"/>
  <c r="Z412" i="5"/>
  <c r="AI411" i="5"/>
  <c r="Z411" i="5"/>
  <c r="AI410" i="5"/>
  <c r="Z410" i="5"/>
  <c r="AI408" i="5"/>
  <c r="Z408" i="5"/>
  <c r="AI407" i="5"/>
  <c r="Z407" i="5"/>
  <c r="AI406" i="5"/>
  <c r="Z406" i="5"/>
  <c r="AI416" i="5"/>
  <c r="Z416" i="5"/>
  <c r="AI321" i="5"/>
  <c r="Z321" i="5"/>
  <c r="AR321" i="5"/>
  <c r="AI320" i="5"/>
  <c r="Z320" i="5"/>
  <c r="AR320" i="5"/>
  <c r="AI319" i="5"/>
  <c r="Z319" i="5"/>
  <c r="AR319" i="5"/>
  <c r="AI318" i="5"/>
  <c r="Z318" i="5"/>
  <c r="AR318" i="5"/>
  <c r="AI405" i="5"/>
  <c r="Z405" i="5"/>
  <c r="AI316" i="5"/>
  <c r="Z316" i="5"/>
  <c r="AI315" i="5"/>
  <c r="Z315" i="5"/>
  <c r="AI314" i="5"/>
  <c r="Z314" i="5"/>
  <c r="AI313" i="5"/>
  <c r="Z313" i="5"/>
  <c r="AI312" i="5"/>
  <c r="Z312" i="5"/>
  <c r="AI311" i="5"/>
  <c r="Z311" i="5"/>
  <c r="AI310" i="5"/>
  <c r="Z310" i="5"/>
  <c r="AI309" i="5"/>
  <c r="Z309" i="5"/>
  <c r="AI308" i="5"/>
  <c r="Z308" i="5"/>
  <c r="AI307" i="5"/>
  <c r="Z307" i="5"/>
  <c r="AI306" i="5"/>
  <c r="Z306" i="5"/>
  <c r="AI305" i="5"/>
  <c r="Z305" i="5"/>
  <c r="AI304" i="5"/>
  <c r="Z304" i="5"/>
  <c r="AI303" i="5"/>
  <c r="Z303" i="5"/>
  <c r="AI302" i="5"/>
  <c r="Z302" i="5"/>
  <c r="AI301" i="5"/>
  <c r="Z301" i="5"/>
  <c r="Z300" i="5"/>
  <c r="O300" i="5"/>
  <c r="AI300" i="5" s="1"/>
  <c r="Z298" i="5"/>
  <c r="O298" i="5"/>
  <c r="AI298" i="5" s="1"/>
  <c r="Z297" i="5"/>
  <c r="O297" i="5"/>
  <c r="AI297" i="5" s="1"/>
  <c r="AI296" i="5"/>
  <c r="Z296" i="5"/>
  <c r="Z295" i="5"/>
  <c r="O295" i="5"/>
  <c r="AI295" i="5" s="1"/>
  <c r="AI294" i="5"/>
  <c r="Z294" i="5"/>
  <c r="AI293" i="5"/>
  <c r="Z293" i="5"/>
  <c r="AI292" i="5"/>
  <c r="Z292" i="5"/>
  <c r="AI291" i="5"/>
  <c r="Z291" i="5"/>
  <c r="AI290" i="5"/>
  <c r="AD290" i="5"/>
  <c r="AC290" i="5"/>
  <c r="Z290" i="5"/>
  <c r="AI289" i="5"/>
  <c r="Z289" i="5"/>
  <c r="AI288" i="5"/>
  <c r="AD288" i="5"/>
  <c r="AC288" i="5"/>
  <c r="Z288" i="5"/>
  <c r="AI287" i="5"/>
  <c r="AI181" i="5"/>
  <c r="Z181" i="5"/>
  <c r="AI180" i="5"/>
  <c r="Z180" i="5"/>
  <c r="AI179" i="5"/>
  <c r="Z179" i="5"/>
  <c r="AI178" i="5"/>
  <c r="Z178" i="5"/>
  <c r="AI282" i="5"/>
  <c r="Z282" i="5"/>
  <c r="AI281" i="5"/>
  <c r="Z281" i="5"/>
  <c r="AI280" i="5"/>
  <c r="Z280" i="5"/>
  <c r="AI279" i="5"/>
  <c r="Z279" i="5"/>
  <c r="AI278" i="5"/>
  <c r="Z278" i="5"/>
  <c r="AI277" i="5"/>
  <c r="Z277" i="5"/>
  <c r="AI276" i="5"/>
  <c r="Z276" i="5"/>
  <c r="AI275" i="5"/>
  <c r="Z275" i="5"/>
  <c r="AI274" i="5"/>
  <c r="Z274" i="5"/>
  <c r="AI273" i="5"/>
  <c r="Z273" i="5"/>
  <c r="AI272" i="5"/>
  <c r="Z272" i="5"/>
  <c r="AI271" i="5"/>
  <c r="Z271" i="5"/>
  <c r="AI270" i="5"/>
  <c r="Z270" i="5"/>
  <c r="AI269" i="5"/>
  <c r="Z269" i="5"/>
  <c r="AI164" i="5"/>
  <c r="Z164" i="5"/>
  <c r="AI175" i="5"/>
  <c r="Z175" i="5"/>
  <c r="AI174" i="5"/>
  <c r="Z174" i="5"/>
  <c r="AI173" i="5"/>
  <c r="Z173" i="5"/>
  <c r="AI172" i="5"/>
  <c r="Z172" i="5"/>
  <c r="AI171" i="5"/>
  <c r="Z171" i="5"/>
  <c r="AI170" i="5"/>
  <c r="Z170" i="5"/>
  <c r="AI169" i="5"/>
  <c r="Z169" i="5"/>
  <c r="AI168" i="5"/>
  <c r="Z168" i="5"/>
  <c r="AI167" i="5"/>
  <c r="Z167" i="5"/>
  <c r="AI257" i="5"/>
  <c r="Z257" i="5"/>
  <c r="AI256" i="5"/>
  <c r="Z256" i="5"/>
  <c r="AI255" i="5"/>
  <c r="Z255" i="5"/>
  <c r="AI254" i="5"/>
  <c r="Z254" i="5"/>
  <c r="AI253" i="5"/>
  <c r="Z253" i="5"/>
  <c r="AI252" i="5"/>
  <c r="Z252" i="5"/>
  <c r="AI251" i="5"/>
  <c r="Z251" i="5"/>
  <c r="AI250" i="5"/>
  <c r="Z250" i="5"/>
  <c r="AI249" i="5"/>
  <c r="Z249" i="5"/>
  <c r="AI248" i="5"/>
  <c r="Z248" i="5"/>
  <c r="AI247" i="5"/>
  <c r="Z247" i="5"/>
  <c r="AI246" i="5"/>
  <c r="Z246" i="5"/>
  <c r="AI245" i="5"/>
  <c r="Z245" i="5"/>
  <c r="AI244" i="5"/>
  <c r="Z244" i="5"/>
  <c r="AI243" i="5"/>
  <c r="Z243" i="5"/>
  <c r="AI242" i="5"/>
  <c r="Z242" i="5"/>
  <c r="AI241" i="5"/>
  <c r="Z241" i="5"/>
  <c r="Z240" i="5"/>
  <c r="O240" i="5"/>
  <c r="AI240" i="5" s="1"/>
  <c r="AI239" i="5"/>
  <c r="Z239" i="5"/>
  <c r="AI238" i="5"/>
  <c r="Z238" i="5"/>
  <c r="AI237" i="5"/>
  <c r="Z237" i="5"/>
  <c r="Z235" i="5"/>
  <c r="O235" i="5"/>
  <c r="AI235" i="5" s="1"/>
  <c r="AI234" i="5"/>
  <c r="Z234" i="5"/>
  <c r="AI233" i="5"/>
  <c r="Z233" i="5"/>
  <c r="Z231" i="5"/>
  <c r="O231" i="5"/>
  <c r="AI231" i="5" s="1"/>
  <c r="AI230" i="5"/>
  <c r="Z230" i="5"/>
  <c r="Z229" i="5"/>
  <c r="O229" i="5"/>
  <c r="AI229" i="5" s="1"/>
  <c r="AI228" i="5"/>
  <c r="Z228" i="5"/>
  <c r="Z227" i="5"/>
  <c r="O227" i="5"/>
  <c r="AI227" i="5" s="1"/>
  <c r="AI226" i="5"/>
  <c r="Z226" i="5"/>
  <c r="AI225" i="5"/>
  <c r="Z225" i="5"/>
  <c r="AI224" i="5"/>
  <c r="Z224" i="5"/>
  <c r="AI223" i="5"/>
  <c r="Z223" i="5"/>
  <c r="AI222" i="5"/>
  <c r="Z222" i="5"/>
  <c r="AI221" i="5"/>
  <c r="Z221" i="5"/>
  <c r="AI220" i="5"/>
  <c r="Z220" i="5"/>
  <c r="AI219" i="5"/>
  <c r="Z219" i="5"/>
  <c r="AI218" i="5"/>
  <c r="Z218" i="5"/>
  <c r="AI216" i="5"/>
  <c r="Z216" i="5"/>
  <c r="AI215" i="5"/>
  <c r="Z215" i="5"/>
  <c r="Z214" i="5"/>
  <c r="O214" i="5"/>
  <c r="AI214" i="5" s="1"/>
  <c r="AI212" i="5"/>
  <c r="Z212" i="5"/>
  <c r="AI211" i="5"/>
  <c r="Z211" i="5"/>
  <c r="AI210" i="5"/>
  <c r="Z210" i="5"/>
  <c r="AI209" i="5"/>
  <c r="Z209" i="5"/>
  <c r="AI208" i="5"/>
  <c r="Z208" i="5"/>
  <c r="AI207" i="5"/>
  <c r="Z207" i="5"/>
  <c r="AI206" i="5"/>
  <c r="Z206" i="5"/>
  <c r="AI205" i="5"/>
  <c r="Z205" i="5"/>
  <c r="AI204" i="5"/>
  <c r="Z204" i="5"/>
  <c r="AI203" i="5"/>
  <c r="Z203" i="5"/>
  <c r="AI202" i="5"/>
  <c r="Z202" i="5"/>
  <c r="AI201" i="5"/>
  <c r="Z201" i="5"/>
  <c r="AI200" i="5"/>
  <c r="Z200" i="5"/>
  <c r="AI199" i="5"/>
  <c r="Z199" i="5"/>
  <c r="AR199" i="5"/>
  <c r="AI198" i="5"/>
  <c r="Z198" i="5"/>
  <c r="AI197" i="5"/>
  <c r="Z197" i="5"/>
  <c r="AI196" i="5"/>
  <c r="Z196" i="5"/>
  <c r="AI195" i="5"/>
  <c r="Z195" i="5"/>
  <c r="AI194" i="5"/>
  <c r="Z194" i="5"/>
  <c r="AI193" i="5"/>
  <c r="Z193" i="5"/>
  <c r="AI192" i="5"/>
  <c r="Z192" i="5"/>
  <c r="AI261" i="5"/>
  <c r="Z261" i="5"/>
  <c r="AI260" i="5"/>
  <c r="Z260" i="5"/>
  <c r="AI374" i="5"/>
  <c r="Z374" i="5"/>
  <c r="AI338" i="5"/>
  <c r="Z338" i="5"/>
  <c r="AI355" i="5"/>
  <c r="Z355" i="5"/>
  <c r="AI332" i="5"/>
  <c r="Z332" i="5"/>
  <c r="AI346" i="5"/>
  <c r="Z346" i="5"/>
  <c r="AI330" i="5"/>
  <c r="Z330" i="5"/>
  <c r="AI327" i="5"/>
  <c r="Z327" i="5"/>
  <c r="AI283" i="5"/>
  <c r="Z283" i="5"/>
  <c r="AI326" i="5"/>
  <c r="Z326" i="5"/>
  <c r="AI268" i="5"/>
  <c r="Z268" i="5"/>
  <c r="AI366" i="5"/>
  <c r="Z366" i="5"/>
  <c r="AI333" i="5"/>
  <c r="Z333" i="5"/>
  <c r="AI317" i="5"/>
  <c r="Z317" i="5"/>
  <c r="AI264" i="5"/>
  <c r="Z264" i="5"/>
  <c r="AI368" i="5"/>
  <c r="Z368" i="5"/>
  <c r="AI334" i="5"/>
  <c r="Z334" i="5"/>
  <c r="AI328" i="5"/>
  <c r="Z328" i="5"/>
  <c r="AI284" i="5"/>
  <c r="Z284" i="5"/>
  <c r="AI324" i="5"/>
  <c r="Z324" i="5"/>
  <c r="AI265" i="5"/>
  <c r="Z265" i="5"/>
  <c r="AI371" i="5"/>
  <c r="Z371" i="5"/>
  <c r="AI337" i="5"/>
  <c r="Z337" i="5"/>
  <c r="AI370" i="5"/>
  <c r="Z370" i="5"/>
  <c r="AI336" i="5"/>
  <c r="Z336" i="5"/>
  <c r="AI286" i="5"/>
  <c r="Z286" i="5"/>
  <c r="AI263" i="5"/>
  <c r="Z263" i="5"/>
  <c r="AI325" i="5"/>
  <c r="Z325" i="5"/>
  <c r="AI266" i="5"/>
  <c r="Z266" i="5"/>
  <c r="AI177" i="5"/>
  <c r="Z177" i="5"/>
  <c r="AI176" i="5"/>
  <c r="Z176" i="5"/>
  <c r="Z345" i="5"/>
  <c r="O345" i="5"/>
  <c r="AI345" i="5" s="1"/>
  <c r="Z399" i="5"/>
  <c r="O399" i="5"/>
  <c r="Z344" i="5"/>
  <c r="O344" i="5"/>
  <c r="AI344" i="5" s="1"/>
  <c r="AD155" i="5"/>
  <c r="AC155" i="5"/>
  <c r="Z155" i="5"/>
  <c r="O155" i="5"/>
  <c r="AI155" i="5" s="1"/>
  <c r="AD154" i="5"/>
  <c r="AC154" i="5"/>
  <c r="Z154" i="5"/>
  <c r="O154" i="5"/>
  <c r="AI154" i="5" s="1"/>
  <c r="AI153" i="5"/>
  <c r="AD153" i="5"/>
  <c r="AC153" i="5"/>
  <c r="Z153" i="5"/>
  <c r="AI152" i="5"/>
  <c r="AD152" i="5"/>
  <c r="AR152" i="5" s="1"/>
  <c r="AC152" i="5"/>
  <c r="Z152" i="5"/>
  <c r="AI151" i="5"/>
  <c r="AD151" i="5"/>
  <c r="AR151" i="5" s="1"/>
  <c r="AC151" i="5"/>
  <c r="Z151" i="5"/>
  <c r="AI150" i="5"/>
  <c r="AD150" i="5"/>
  <c r="AR150" i="5" s="1"/>
  <c r="AC150" i="5"/>
  <c r="Z150" i="5"/>
  <c r="AI149" i="5"/>
  <c r="AD149" i="5"/>
  <c r="AC149" i="5"/>
  <c r="Z149" i="5"/>
  <c r="AI148" i="5"/>
  <c r="AD148" i="5"/>
  <c r="AC148" i="5"/>
  <c r="Z148" i="5"/>
  <c r="AI147" i="5"/>
  <c r="AD147" i="5"/>
  <c r="AC147" i="5"/>
  <c r="Z147" i="5"/>
  <c r="AI146" i="5"/>
  <c r="AD146" i="5"/>
  <c r="AC146" i="5"/>
  <c r="Z146" i="5"/>
  <c r="AI145" i="5"/>
  <c r="AD145" i="5"/>
  <c r="AC145" i="5"/>
  <c r="Z145" i="5"/>
  <c r="AI144" i="5"/>
  <c r="AD144" i="5"/>
  <c r="AC144" i="5"/>
  <c r="Z144" i="5"/>
  <c r="AD143" i="5"/>
  <c r="AC143" i="5"/>
  <c r="Z143" i="5"/>
  <c r="O143" i="5"/>
  <c r="AI143" i="5" s="1"/>
  <c r="AI142" i="5"/>
  <c r="AD142" i="5"/>
  <c r="AC142" i="5"/>
  <c r="Z142" i="5"/>
  <c r="AI141" i="5"/>
  <c r="AD141" i="5"/>
  <c r="AC141" i="5"/>
  <c r="Z141" i="5"/>
  <c r="AD140" i="5"/>
  <c r="AC140" i="5"/>
  <c r="Z140" i="5"/>
  <c r="O140" i="5"/>
  <c r="AI140" i="5" s="1"/>
  <c r="AI139" i="5"/>
  <c r="AD139" i="5"/>
  <c r="AC139" i="5"/>
  <c r="Z139" i="5"/>
  <c r="AD138" i="5"/>
  <c r="AC138" i="5"/>
  <c r="Z138" i="5"/>
  <c r="O138" i="5"/>
  <c r="AI138" i="5" s="1"/>
  <c r="AI137" i="5"/>
  <c r="AD137" i="5"/>
  <c r="AC137" i="5"/>
  <c r="Z137" i="5"/>
  <c r="AI136" i="5"/>
  <c r="AD136" i="5"/>
  <c r="AC136" i="5"/>
  <c r="Z136" i="5"/>
  <c r="AD135" i="5"/>
  <c r="AC135" i="5"/>
  <c r="Z135" i="5"/>
  <c r="O135" i="5"/>
  <c r="AI135" i="5" s="1"/>
  <c r="AI134" i="5"/>
  <c r="AD134" i="5"/>
  <c r="AC134" i="5"/>
  <c r="Z134" i="5"/>
  <c r="AD133" i="5"/>
  <c r="AC133" i="5"/>
  <c r="Z133" i="5"/>
  <c r="O133" i="5"/>
  <c r="AI133" i="5" s="1"/>
  <c r="AD132" i="5"/>
  <c r="AC132" i="5"/>
  <c r="Z132" i="5"/>
  <c r="O132" i="5"/>
  <c r="AI132" i="5" s="1"/>
  <c r="AI131" i="5"/>
  <c r="AD131" i="5"/>
  <c r="AC131" i="5"/>
  <c r="Z131" i="5"/>
  <c r="AI130" i="5"/>
  <c r="AD130" i="5"/>
  <c r="AC130" i="5"/>
  <c r="Z130" i="5"/>
  <c r="AI129" i="5"/>
  <c r="Z129" i="5"/>
  <c r="AI128" i="5"/>
  <c r="Z128" i="5"/>
  <c r="AI127" i="5"/>
  <c r="Z127" i="5"/>
  <c r="AI126" i="5"/>
  <c r="Z126" i="5"/>
  <c r="AI125" i="5"/>
  <c r="Z125" i="5"/>
  <c r="AI124" i="5"/>
  <c r="Z124" i="5"/>
  <c r="AI123" i="5"/>
  <c r="Z123" i="5"/>
  <c r="AI122" i="5"/>
  <c r="Z122" i="5"/>
  <c r="AI121" i="5"/>
  <c r="Z121" i="5"/>
  <c r="AI120" i="5"/>
  <c r="Z120" i="5"/>
  <c r="AI119" i="5"/>
  <c r="Z119" i="5"/>
  <c r="AI118" i="5"/>
  <c r="Z118" i="5"/>
  <c r="AM117" i="5"/>
  <c r="AI117" i="5"/>
  <c r="Z117" i="5"/>
  <c r="AI116" i="5"/>
  <c r="Z116" i="5"/>
  <c r="AI115" i="5"/>
  <c r="Z115" i="5"/>
  <c r="AM114" i="5"/>
  <c r="AI114" i="5"/>
  <c r="Z114" i="5"/>
  <c r="AI113" i="5"/>
  <c r="Z113" i="5"/>
  <c r="AD112" i="5"/>
  <c r="AC112" i="5"/>
  <c r="Z112" i="5"/>
  <c r="O112" i="5"/>
  <c r="AI112" i="5" s="1"/>
  <c r="AD111" i="5"/>
  <c r="AC111" i="5"/>
  <c r="Z111" i="5"/>
  <c r="O111" i="5"/>
  <c r="AI111" i="5" s="1"/>
  <c r="AD110" i="5"/>
  <c r="AC110" i="5"/>
  <c r="Z110" i="5"/>
  <c r="O110" i="5"/>
  <c r="AI110" i="5" s="1"/>
  <c r="Z109" i="5"/>
  <c r="O109" i="5"/>
  <c r="AI109" i="5" s="1"/>
  <c r="Z108" i="5"/>
  <c r="O108" i="5"/>
  <c r="AI108" i="5" s="1"/>
  <c r="Z107" i="5"/>
  <c r="O107" i="5"/>
  <c r="AI107" i="5" s="1"/>
  <c r="AI106" i="5"/>
  <c r="Z106" i="5"/>
  <c r="AI163" i="5"/>
  <c r="Z163" i="5"/>
  <c r="AI104" i="5"/>
  <c r="Z104" i="5"/>
  <c r="AI103" i="5"/>
  <c r="Z103" i="5"/>
  <c r="AI101" i="5"/>
  <c r="Z101" i="5"/>
  <c r="AI100" i="5"/>
  <c r="Z100" i="5"/>
  <c r="Z99" i="5"/>
  <c r="O99" i="5"/>
  <c r="AI99" i="5" s="1"/>
  <c r="AI98" i="5"/>
  <c r="Z98" i="5"/>
  <c r="AI97" i="5"/>
  <c r="Z97" i="5"/>
  <c r="AI96" i="5"/>
  <c r="Z96" i="5"/>
  <c r="AI95" i="5"/>
  <c r="Z95" i="5"/>
  <c r="AI94" i="5"/>
  <c r="Z94" i="5"/>
  <c r="AI93" i="5"/>
  <c r="Z93" i="5"/>
  <c r="AI92" i="5"/>
  <c r="Z92" i="5"/>
  <c r="AI91" i="5"/>
  <c r="Z91" i="5"/>
  <c r="AI90" i="5"/>
  <c r="Z90" i="5"/>
  <c r="AI89" i="5"/>
  <c r="Z89" i="5"/>
  <c r="AI88" i="5"/>
  <c r="Z88" i="5"/>
  <c r="AI87" i="5"/>
  <c r="Z87" i="5"/>
  <c r="AI86" i="5"/>
  <c r="Z86" i="5"/>
  <c r="AI85" i="5"/>
  <c r="Z85" i="5"/>
  <c r="AI84" i="5"/>
  <c r="Z84" i="5"/>
  <c r="AI83" i="5"/>
  <c r="Z83" i="5"/>
  <c r="Z82" i="5"/>
  <c r="O82" i="5"/>
  <c r="AI82" i="5" s="1"/>
  <c r="AI81" i="5"/>
  <c r="Z81" i="5"/>
  <c r="Z80" i="5"/>
  <c r="O80" i="5"/>
  <c r="AI80" i="5" s="1"/>
  <c r="Z79" i="5"/>
  <c r="O79" i="5"/>
  <c r="AI79" i="5" s="1"/>
  <c r="AI78" i="5"/>
  <c r="Z78" i="5"/>
  <c r="AI77" i="5"/>
  <c r="Z77" i="5"/>
  <c r="AI76" i="5"/>
  <c r="Z76" i="5"/>
  <c r="AI75" i="5"/>
  <c r="Z75" i="5"/>
  <c r="AD74" i="5"/>
  <c r="AC74" i="5"/>
  <c r="Z74" i="5"/>
  <c r="O74" i="5"/>
  <c r="AI74" i="5" s="1"/>
  <c r="AD73" i="5"/>
  <c r="AC73" i="5"/>
  <c r="Z73" i="5"/>
  <c r="O73" i="5"/>
  <c r="AI73" i="5" s="1"/>
  <c r="AI72" i="5"/>
  <c r="Z72" i="5"/>
  <c r="Z71" i="5"/>
  <c r="O71" i="5"/>
  <c r="AI71" i="5" s="1"/>
  <c r="Z70" i="5"/>
  <c r="O70" i="5"/>
  <c r="AI70" i="5" s="1"/>
  <c r="Z69" i="5"/>
  <c r="O69" i="5"/>
  <c r="AI69" i="5" s="1"/>
  <c r="AI68" i="5"/>
  <c r="Z68" i="5"/>
  <c r="AI67" i="5"/>
  <c r="Z67" i="5"/>
  <c r="Z66" i="5"/>
  <c r="O66" i="5"/>
  <c r="AI66" i="5" s="1"/>
  <c r="AI65" i="5"/>
  <c r="Z65" i="5"/>
  <c r="AI417" i="5"/>
  <c r="Z417" i="5"/>
  <c r="AI63" i="5"/>
  <c r="Z63" i="5"/>
  <c r="AD62" i="5"/>
  <c r="AC62" i="5"/>
  <c r="Z62" i="5"/>
  <c r="O62" i="5"/>
  <c r="AI62" i="5" s="1"/>
  <c r="AD61" i="5"/>
  <c r="AC61" i="5"/>
  <c r="Z61" i="5"/>
  <c r="O61" i="5"/>
  <c r="AI61" i="5" s="1"/>
  <c r="AI60" i="5"/>
  <c r="Z60" i="5"/>
  <c r="Z59" i="5"/>
  <c r="O59" i="5"/>
  <c r="AI59" i="5" s="1"/>
  <c r="Z58" i="5"/>
  <c r="O58" i="5"/>
  <c r="AI58" i="5" s="1"/>
  <c r="Z57" i="5"/>
  <c r="O57" i="5"/>
  <c r="AI57" i="5" s="1"/>
  <c r="AI56" i="5"/>
  <c r="Z56" i="5"/>
  <c r="Z55" i="5"/>
  <c r="O55" i="5"/>
  <c r="AI55" i="5" s="1"/>
  <c r="AI50" i="5"/>
  <c r="Z50" i="5"/>
  <c r="AI49" i="5"/>
  <c r="AD49" i="5"/>
  <c r="AC49" i="5"/>
  <c r="Z49" i="5"/>
  <c r="AI48" i="5"/>
  <c r="Z48" i="5"/>
  <c r="AI47" i="5"/>
  <c r="Z47" i="5"/>
  <c r="AI46" i="5"/>
  <c r="Z46" i="5"/>
  <c r="Z45" i="5"/>
  <c r="O45" i="5"/>
  <c r="AI45" i="5" s="1"/>
  <c r="Z44" i="5"/>
  <c r="O44" i="5"/>
  <c r="AI44" i="5" s="1"/>
  <c r="Z43" i="5"/>
  <c r="O43" i="5"/>
  <c r="AI43" i="5" s="1"/>
  <c r="Z42" i="5"/>
  <c r="O42" i="5"/>
  <c r="AI42" i="5" s="1"/>
  <c r="AD41" i="5"/>
  <c r="AC41" i="5"/>
  <c r="Z41" i="5"/>
  <c r="O41" i="5"/>
  <c r="AI41" i="5" s="1"/>
  <c r="AI40" i="5"/>
  <c r="AD40" i="5"/>
  <c r="AC40" i="5"/>
  <c r="Z40" i="5"/>
  <c r="AI39" i="5"/>
  <c r="Z39" i="5"/>
  <c r="AI38" i="5"/>
  <c r="Z38" i="5"/>
  <c r="AI37" i="5"/>
  <c r="Z37" i="5"/>
  <c r="AI36" i="5"/>
  <c r="Z36" i="5"/>
  <c r="AI35" i="5"/>
  <c r="Z35" i="5"/>
  <c r="AI34" i="5"/>
  <c r="Z34" i="5"/>
  <c r="AD33" i="5"/>
  <c r="AC33" i="5"/>
  <c r="Z33" i="5"/>
  <c r="O33" i="5"/>
  <c r="AI33" i="5" s="1"/>
  <c r="AD32" i="5"/>
  <c r="AC32" i="5"/>
  <c r="Z32" i="5"/>
  <c r="O32" i="5"/>
  <c r="AI32" i="5" s="1"/>
  <c r="Z31" i="5"/>
  <c r="O31" i="5"/>
  <c r="AI31" i="5" s="1"/>
  <c r="AI30" i="5"/>
  <c r="Z30" i="5"/>
  <c r="AD29" i="5"/>
  <c r="AC29" i="5"/>
  <c r="Z29" i="5"/>
  <c r="O29" i="5"/>
  <c r="AI29" i="5" s="1"/>
  <c r="AD28" i="5"/>
  <c r="AC28" i="5"/>
  <c r="Z28" i="5"/>
  <c r="O28" i="5"/>
  <c r="AI28" i="5" s="1"/>
  <c r="AD27" i="5"/>
  <c r="AC27" i="5"/>
  <c r="Z27" i="5"/>
  <c r="O27" i="5"/>
  <c r="AI27" i="5" s="1"/>
  <c r="AI26" i="5"/>
  <c r="Z26" i="5"/>
  <c r="AD25" i="5"/>
  <c r="AC25" i="5"/>
  <c r="Z25" i="5"/>
  <c r="O25" i="5"/>
  <c r="AI25" i="5" s="1"/>
  <c r="Z24" i="5"/>
  <c r="O24" i="5"/>
  <c r="AI24" i="5" s="1"/>
  <c r="Z23" i="5"/>
  <c r="O23" i="5"/>
  <c r="AI23" i="5" s="1"/>
  <c r="AI22" i="5"/>
  <c r="Z22" i="5"/>
  <c r="AD21" i="5"/>
  <c r="AC21" i="5"/>
  <c r="Z21" i="5"/>
  <c r="O21" i="5"/>
  <c r="AI21" i="5" s="1"/>
  <c r="AD20" i="5"/>
  <c r="AC20" i="5"/>
  <c r="Z20" i="5"/>
  <c r="O20" i="5"/>
  <c r="AI20" i="5" s="1"/>
  <c r="Z19" i="5"/>
  <c r="O19" i="5"/>
  <c r="AI19" i="5" s="1"/>
  <c r="AD18" i="5"/>
  <c r="AC18" i="5"/>
  <c r="Z18" i="5"/>
  <c r="O18" i="5"/>
  <c r="AI18" i="5" s="1"/>
  <c r="AI17" i="5"/>
  <c r="Z17" i="5"/>
  <c r="AI16" i="5"/>
  <c r="Z16" i="5"/>
  <c r="AI15" i="5"/>
  <c r="Z15" i="5"/>
  <c r="AI14" i="5"/>
  <c r="Z14" i="5"/>
  <c r="AI13" i="5"/>
  <c r="Z13" i="5"/>
  <c r="Z12" i="5"/>
  <c r="O12" i="5"/>
  <c r="AI12" i="5" s="1"/>
  <c r="Z11" i="5"/>
  <c r="O11" i="5"/>
  <c r="AI11" i="5" s="1"/>
  <c r="Z10" i="5"/>
  <c r="O10" i="5"/>
  <c r="AI10" i="5" s="1"/>
  <c r="AI9" i="5"/>
  <c r="Z9" i="5"/>
  <c r="AI8" i="5"/>
  <c r="Z8" i="5"/>
  <c r="AI7" i="5"/>
  <c r="Z7" i="5"/>
  <c r="Z6" i="5"/>
  <c r="O6" i="5"/>
  <c r="AI6" i="5" s="1"/>
  <c r="Z5" i="5"/>
  <c r="O5" i="5"/>
  <c r="AI5" i="5" s="1"/>
  <c r="Z4" i="5"/>
  <c r="O4" i="5"/>
  <c r="AI4" i="5" s="1"/>
  <c r="Z3" i="5"/>
  <c r="O3" i="5"/>
  <c r="AI3" i="5" s="1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G3" i="33"/>
  <c r="I3" i="33"/>
  <c r="C3" i="33"/>
  <c r="AO24" i="6" l="1"/>
  <c r="AI399" i="5"/>
  <c r="AI400" i="5"/>
  <c r="K3" i="33"/>
  <c r="K15" i="33" s="1"/>
  <c r="Z535" i="5"/>
  <c r="Z540" i="5"/>
  <c r="Z542" i="5"/>
  <c r="Z538" i="5"/>
  <c r="Z536" i="5"/>
  <c r="Z541" i="5"/>
  <c r="Z543" i="5"/>
  <c r="Z539" i="5"/>
  <c r="Z537" i="5"/>
  <c r="N24" i="6"/>
  <c r="AX24" i="6" s="1"/>
  <c r="F70" i="3"/>
  <c r="I15" i="33"/>
  <c r="AO23" i="6"/>
  <c r="B15" i="33"/>
  <c r="AS112" i="5"/>
  <c r="AS19" i="5"/>
  <c r="AS29" i="5"/>
  <c r="AS41" i="5"/>
  <c r="AS70" i="5"/>
  <c r="AS107" i="5"/>
  <c r="AS10" i="5"/>
  <c r="AS11" i="5"/>
  <c r="AS23" i="5"/>
  <c r="AS133" i="5"/>
  <c r="AS240" i="5"/>
  <c r="AS69" i="5"/>
  <c r="AS231" i="5"/>
  <c r="AS298" i="5"/>
  <c r="AS541" i="5"/>
  <c r="AS297" i="5"/>
  <c r="AS31" i="5"/>
  <c r="AS74" i="5"/>
  <c r="AS140" i="5"/>
  <c r="AS143" i="5"/>
  <c r="AS154" i="5"/>
  <c r="AS399" i="5"/>
  <c r="AS214" i="5"/>
  <c r="AS295" i="5"/>
  <c r="AS3" i="5"/>
  <c r="AS5" i="5"/>
  <c r="AS18" i="5"/>
  <c r="AS21" i="5"/>
  <c r="AS28" i="5"/>
  <c r="AS43" i="5"/>
  <c r="AS45" i="5"/>
  <c r="AS58" i="5"/>
  <c r="AS66" i="5"/>
  <c r="AS99" i="5"/>
  <c r="AS111" i="5"/>
  <c r="AS62" i="5"/>
  <c r="AS73" i="5"/>
  <c r="AS79" i="5"/>
  <c r="AS108" i="5"/>
  <c r="AS539" i="5"/>
  <c r="AS300" i="5"/>
  <c r="AS109" i="5"/>
  <c r="AS71" i="5"/>
  <c r="AS344" i="5"/>
  <c r="AS345" i="5"/>
  <c r="AS229" i="5"/>
  <c r="AS4" i="5"/>
  <c r="AS6" i="5"/>
  <c r="AS42" i="5"/>
  <c r="AS44" i="5"/>
  <c r="AS57" i="5"/>
  <c r="AS59" i="5"/>
  <c r="AS82" i="5"/>
  <c r="AS227" i="5"/>
  <c r="AS235" i="5"/>
  <c r="AS12" i="5"/>
  <c r="AS24" i="5"/>
  <c r="AS55" i="5"/>
  <c r="AS80" i="5"/>
  <c r="AS552" i="5"/>
  <c r="AS542" i="5"/>
  <c r="AR147" i="5"/>
  <c r="AS147" i="5"/>
  <c r="AR141" i="5"/>
  <c r="AS141" i="5"/>
  <c r="AR49" i="5"/>
  <c r="AS49" i="5"/>
  <c r="AR149" i="5"/>
  <c r="AS149" i="5"/>
  <c r="AR288" i="5"/>
  <c r="AS288" i="5"/>
  <c r="AR290" i="5"/>
  <c r="AS290" i="5"/>
  <c r="AR137" i="5"/>
  <c r="AS137" i="5"/>
  <c r="AR131" i="5"/>
  <c r="AS131" i="5"/>
  <c r="AS25" i="5"/>
  <c r="AS33" i="5"/>
  <c r="AS110" i="5"/>
  <c r="AR134" i="5"/>
  <c r="AS134" i="5"/>
  <c r="AR146" i="5"/>
  <c r="AS146" i="5"/>
  <c r="AS20" i="5"/>
  <c r="AS132" i="5"/>
  <c r="AR148" i="5"/>
  <c r="AS148" i="5"/>
  <c r="AS27" i="5"/>
  <c r="AS61" i="5"/>
  <c r="AR130" i="5"/>
  <c r="AS130" i="5"/>
  <c r="AS32" i="5"/>
  <c r="AR40" i="5"/>
  <c r="AS40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2" i="5"/>
  <c r="AV12" i="5"/>
  <c r="AU12" i="5"/>
  <c r="AT12" i="5"/>
  <c r="AR109" i="5"/>
  <c r="AV109" i="5"/>
  <c r="AU109" i="5"/>
  <c r="AT109" i="5"/>
  <c r="AR74" i="5"/>
  <c r="AV74" i="5"/>
  <c r="AU74" i="5"/>
  <c r="AT74" i="5"/>
  <c r="AR143" i="5"/>
  <c r="AV143" i="5"/>
  <c r="AU143" i="5"/>
  <c r="AT143" i="5"/>
  <c r="AR295" i="5"/>
  <c r="AU295" i="5"/>
  <c r="AT295" i="5"/>
  <c r="AV295" i="5"/>
  <c r="AR112" i="5"/>
  <c r="AV112" i="5"/>
  <c r="AU112" i="5"/>
  <c r="AT112" i="5"/>
  <c r="AR19" i="5"/>
  <c r="AV19" i="5"/>
  <c r="AU19" i="5"/>
  <c r="AT19" i="5"/>
  <c r="AR41" i="5"/>
  <c r="AT41" i="5"/>
  <c r="AU41" i="5"/>
  <c r="AV41" i="5"/>
  <c r="AR399" i="5"/>
  <c r="AV399" i="5"/>
  <c r="AU399" i="5"/>
  <c r="AT399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3" i="5"/>
  <c r="AV133" i="5"/>
  <c r="AU133" i="5"/>
  <c r="AT133" i="5"/>
  <c r="AR240" i="5"/>
  <c r="AV240" i="5"/>
  <c r="AU240" i="5"/>
  <c r="AT240" i="5"/>
  <c r="AT25" i="5"/>
  <c r="AV25" i="5"/>
  <c r="AU25" i="5"/>
  <c r="AV110" i="5"/>
  <c r="AU110" i="5"/>
  <c r="AT110" i="5"/>
  <c r="AR231" i="5"/>
  <c r="AV231" i="5"/>
  <c r="AU231" i="5"/>
  <c r="AT231" i="5"/>
  <c r="AR298" i="5"/>
  <c r="AV298" i="5"/>
  <c r="AU298" i="5"/>
  <c r="AT298" i="5"/>
  <c r="AR541" i="5"/>
  <c r="AV541" i="5"/>
  <c r="AU541" i="5"/>
  <c r="AT541" i="5"/>
  <c r="AR140" i="5"/>
  <c r="AV140" i="5"/>
  <c r="AT140" i="5"/>
  <c r="AU140" i="5"/>
  <c r="AR31" i="5"/>
  <c r="AV31" i="5"/>
  <c r="AU31" i="5"/>
  <c r="AT31" i="5"/>
  <c r="AR66" i="5"/>
  <c r="AV66" i="5"/>
  <c r="AU66" i="5"/>
  <c r="AT66" i="5"/>
  <c r="AR111" i="5"/>
  <c r="AV111" i="5"/>
  <c r="AU111" i="5"/>
  <c r="AT111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8" i="5"/>
  <c r="AU108" i="5"/>
  <c r="AT108" i="5"/>
  <c r="AV108" i="5"/>
  <c r="AV20" i="5"/>
  <c r="AU20" i="5"/>
  <c r="AT20" i="5"/>
  <c r="AV27" i="5"/>
  <c r="AU27" i="5"/>
  <c r="AT27" i="5"/>
  <c r="AV61" i="5"/>
  <c r="AU61" i="5"/>
  <c r="AT61" i="5"/>
  <c r="AU132" i="5"/>
  <c r="AT132" i="5"/>
  <c r="AV132" i="5"/>
  <c r="AR344" i="5"/>
  <c r="AV344" i="5"/>
  <c r="AT344" i="5"/>
  <c r="AU344" i="5"/>
  <c r="AR345" i="5"/>
  <c r="AV345" i="5"/>
  <c r="AU345" i="5"/>
  <c r="AT345" i="5"/>
  <c r="AR229" i="5"/>
  <c r="AV229" i="5"/>
  <c r="AT229" i="5"/>
  <c r="AU229" i="5"/>
  <c r="AR539" i="5"/>
  <c r="AV539" i="5"/>
  <c r="AU539" i="5"/>
  <c r="AT539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5" i="5"/>
  <c r="AU155" i="5"/>
  <c r="AT155" i="5"/>
  <c r="AR552" i="5"/>
  <c r="AV552" i="5"/>
  <c r="AU552" i="5"/>
  <c r="AT552" i="5"/>
  <c r="AR24" i="5"/>
  <c r="AV24" i="5"/>
  <c r="AU24" i="5"/>
  <c r="AT24" i="5"/>
  <c r="AR297" i="5"/>
  <c r="AV297" i="5"/>
  <c r="AU297" i="5"/>
  <c r="AT297" i="5"/>
  <c r="AR300" i="5"/>
  <c r="AV300" i="5"/>
  <c r="AU300" i="5"/>
  <c r="AT300" i="5"/>
  <c r="AR542" i="5"/>
  <c r="AV542" i="5"/>
  <c r="AU542" i="5"/>
  <c r="AT542" i="5"/>
  <c r="AR25" i="5"/>
  <c r="AR33" i="5"/>
  <c r="AR110" i="5"/>
  <c r="AR20" i="5"/>
  <c r="AR132" i="5"/>
  <c r="AR27" i="5"/>
  <c r="AR61" i="5"/>
  <c r="AR32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J3" i="33"/>
  <c r="D3" i="33"/>
  <c r="D7" i="33"/>
  <c r="J7" i="33"/>
  <c r="AI535" i="5"/>
  <c r="AI543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36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9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8" i="5"/>
  <c r="G28" i="3"/>
  <c r="G56" i="3"/>
  <c r="AI537" i="5"/>
  <c r="G7" i="3"/>
  <c r="G32" i="3"/>
  <c r="I31" i="3"/>
  <c r="AI542" i="5"/>
  <c r="N17" i="6"/>
  <c r="J45" i="3"/>
  <c r="J50" i="3"/>
  <c r="I54" i="3"/>
  <c r="J29" i="3"/>
  <c r="I33" i="3"/>
  <c r="I35" i="3"/>
  <c r="G59" i="3"/>
  <c r="J56" i="3"/>
  <c r="G67" i="3"/>
  <c r="H67" i="3" s="1"/>
  <c r="AI541" i="5"/>
  <c r="AI540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L3" i="33" l="1"/>
  <c r="L15" i="33"/>
  <c r="AS24" i="6"/>
  <c r="AV24" i="6"/>
  <c r="AT24" i="6"/>
  <c r="AU24" i="6"/>
  <c r="AW24" i="6"/>
  <c r="AS558" i="5"/>
  <c r="Y44" i="35" s="1"/>
  <c r="AV558" i="5"/>
  <c r="AB20" i="35" s="1"/>
  <c r="AT558" i="5"/>
  <c r="Z41" i="35" s="1"/>
  <c r="AR558" i="5"/>
  <c r="AU558" i="5"/>
  <c r="AA12" i="35" s="1"/>
  <c r="L63" i="35"/>
  <c r="H15" i="33"/>
  <c r="F15" i="33"/>
  <c r="D15" i="33"/>
  <c r="J15" i="33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<sst xmlns="http://schemas.openxmlformats.org/spreadsheetml/2006/main" count="12328" uniqueCount="3016">
  <si>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</si>
  <si>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</si>
  <si>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</si>
  <si>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</si>
  <si>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</si>
  <si>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</si>
  <si>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</si>
  <si>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</si>
  <si>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</si>
  <si>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</si>
  <si>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</si>
  <si>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</si>
  <si>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</si>
  <si>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</si>
  <si>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</si>
  <si>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</si>
  <si>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</si>
  <si>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</si>
  <si>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</si>
  <si>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</si>
  <si>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</si>
  <si>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</si>
  <si>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</si>
  <si>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</si>
  <si>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</si>
  <si>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</si>
  <si>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</si>
  <si>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</si>
  <si>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</si>
  <si>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</si>
  <si>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</si>
  <si>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</si>
  <si>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</si>
  <si>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</si>
  <si>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</si>
  <si>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</si>
  <si>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</si>
  <si>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</si>
  <si>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</si>
  <si>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</si>
  <si>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</si>
  <si>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</si>
  <si>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</si>
  <si>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</si>
  <si>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</si>
  <si>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</si>
  <si>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</si>
  <si>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</si>
  <si>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</si>
  <si>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</si>
  <si>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</si>
  <si>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</si>
  <si>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</si>
  <si>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</si>
  <si>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</si>
  <si>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</si>
  <si>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</si>
  <si>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</si>
  <si>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</si>
  <si>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</si>
  <si>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</si>
  <si>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</si>
  <si>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</si>
  <si>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</si>
  <si>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</si>
  <si>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</si>
  <si>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</si>
  <si>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</si>
  <si>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</si>
  <si>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</si>
  <si>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</si>
  <si>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</si>
  <si>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</si>
  <si>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</si>
  <si>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</si>
  <si>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</si>
  <si>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</si>
  <si>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</si>
  <si>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</si>
  <si>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</si>
  <si>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</si>
  <si>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</si>
  <si>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</si>
  <si>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</si>
  <si>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</si>
  <si>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</si>
  <si>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</si>
  <si>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</si>
  <si>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</si>
  <si>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</si>
  <si>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</si>
  <si>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</si>
  <si>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</si>
  <si>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</si>
  <si>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</si>
  <si>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</si>
  <si>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</si>
  <si>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</si>
  <si>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</si>
  <si>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</si>
  <si>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</si>
  <si>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</si>
  <si>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</si>
  <si>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</si>
  <si>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</si>
  <si>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</si>
  <si>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</si>
  <si>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</si>
  <si>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</si>
  <si>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</si>
  <si>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</si>
  <si>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</si>
  <si>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</si>
  <si>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</si>
  <si>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</si>
  <si>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</si>
  <si>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</si>
  <si>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</si>
  <si>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</si>
  <si>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</si>
  <si>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</si>
  <si>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</si>
  <si>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</si>
  <si>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</si>
  <si>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</si>
  <si>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</si>
  <si>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</si>
  <si>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</si>
  <si>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</si>
  <si>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</si>
  <si>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</si>
  <si>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</si>
  <si>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</si>
  <si>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</si>
  <si>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</si>
  <si>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</si>
  <si>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</si>
  <si>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</si>
  <si>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</si>
  <si>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</si>
  <si>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</si>
  <si>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</si>
  <si>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</si>
  <si>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</si>
  <si>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</si>
  <si>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</si>
  <si>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</si>
  <si>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</si>
  <si>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</si>
  <si>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</si>
  <si>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</si>
  <si>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</si>
  <si>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</si>
  <si>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</si>
  <si>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</si>
  <si>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</si>
  <si>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</si>
  <si>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</si>
  <si>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</si>
  <si>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</si>
  <si>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</si>
  <si>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</si>
  <si>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</si>
  <si>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</si>
  <si>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</si>
  <si>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</si>
  <si>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</si>
  <si>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</si>
  <si>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</si>
  <si>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</si>
  <si>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</si>
  <si>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</si>
  <si>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</si>
  <si>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</si>
  <si>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</si>
  <si>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</si>
  <si>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</si>
  <si>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</si>
  <si>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</si>
  <si>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</si>
  <si>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</si>
  <si>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</si>
  <si>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</si>
  <si>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</si>
  <si>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</si>
  <si>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</si>
  <si>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</si>
  <si>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</si>
  <si>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</si>
  <si>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</si>
  <si>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</si>
  <si>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</si>
  <si>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</si>
  <si>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</si>
  <si>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</si>
  <si>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</si>
  <si>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</si>
  <si>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</si>
  <si>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</si>
  <si>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</si>
  <si>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</si>
  <si>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</si>
  <si>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</si>
  <si>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</si>
  <si>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</si>
  <si>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</si>
  <si>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</si>
  <si>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</si>
  <si>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</si>
  <si>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</si>
  <si>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</si>
  <si>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</si>
  <si>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</si>
  <si>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</si>
  <si>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</si>
  <si>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</si>
  <si>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</si>
  <si>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</si>
  <si>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</si>
  <si>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</si>
  <si>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</si>
  <si>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</si>
  <si>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</si>
  <si>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</si>
  <si>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</si>
  <si>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</si>
  <si>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</si>
  <si>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</si>
  <si>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</si>
  <si>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</si>
  <si>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</si>
  <si>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</si>
  <si>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</si>
  <si>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</si>
  <si>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</si>
  <si>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</si>
  <si>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</si>
  <si>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</si>
  <si>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</si>
  <si>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</si>
  <si>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</si>
  <si>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</si>
  <si>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</si>
  <si>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</si>
  <si>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</si>
  <si>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</si>
  <si>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</si>
  <si>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</si>
  <si>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</si>
  <si>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</si>
  <si>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</si>
  <si>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</si>
  <si>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</si>
  <si>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</si>
  <si>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</si>
  <si>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</si>
  <si>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</si>
  <si>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</si>
  <si>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</si>
  <si>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</si>
  <si>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</si>
  <si>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</si>
  <si>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</si>
  <si>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</si>
  <si>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</si>
  <si>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</si>
  <si>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</si>
  <si>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</si>
  <si>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</si>
  <si>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</si>
  <si>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</si>
  <si>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</si>
  <si>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</si>
  <si>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</si>
  <si>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</si>
  <si>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</si>
  <si>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</si>
  <si>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</si>
  <si>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</si>
  <si>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</si>
  <si>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</si>
  <si>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</si>
  <si>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</si>
  <si>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</si>
  <si>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</si>
  <si>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</si>
  <si>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</si>
  <si>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</si>
  <si>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</si>
  <si>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</si>
  <si>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</si>
  <si>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</si>
  <si>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</si>
  <si>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</si>
  <si>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</si>
  <si>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</si>
  <si>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</si>
  <si>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</si>
  <si>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</si>
  <si>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</si>
  <si>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</si>
  <si>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</si>
  <si>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</si>
  <si>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</si>
  <si>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</si>
  <si>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</si>
  <si>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</si>
  <si>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</si>
  <si>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</si>
  <si>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</si>
  <si>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</si>
  <si>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</si>
  <si>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</si>
  <si>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</si>
  <si>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</si>
  <si>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</si>
  <si>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</si>
  <si>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</si>
  <si>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</si>
  <si>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</si>
  <si>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</si>
  <si>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</si>
  <si>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</si>
  <si>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</si>
  <si>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</si>
  <si>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</si>
  <si>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</si>
  <si>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</si>
  <si>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</si>
  <si>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</si>
  <si>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</si>
  <si>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</si>
  <si>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</si>
  <si>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</si>
  <si>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</si>
  <si>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</si>
  <si>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</si>
  <si>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</si>
  <si>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</si>
  <si>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</si>
  <si>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</si>
  <si>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</si>
  <si>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</si>
  <si>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</si>
  <si>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</si>
  <si>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</si>
  <si>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</si>
  <si>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</si>
  <si>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</si>
  <si>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</si>
  <si>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</si>
  <si>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</si>
  <si>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</si>
  <si>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</si>
  <si>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</si>
  <si>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</si>
  <si>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</si>
  <si>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</si>
  <si>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</si>
  <si>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</si>
  <si>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</si>
  <si>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</si>
  <si>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</si>
  <si>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</si>
  <si>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</si>
  <si>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</si>
  <si>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</si>
  <si>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</si>
  <si>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</si>
  <si>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</si>
  <si>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</si>
  <si>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</si>
  <si>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</si>
  <si>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</si>
  <si>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</si>
  <si>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</si>
  <si>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</si>
  <si>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</si>
  <si>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</si>
  <si>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</si>
  <si>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</si>
  <si>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</si>
  <si>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</si>
  <si>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</si>
  <si>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</si>
  <si>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</si>
  <si>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</si>
  <si>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</si>
  <si>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</si>
  <si>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</si>
  <si>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</si>
  <si>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</si>
  <si>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</si>
  <si>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</si>
  <si>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</si>
  <si>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</si>
  <si>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</si>
  <si>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</si>
  <si>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</si>
  <si>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</si>
  <si>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</si>
  <si>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</si>
  <si>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</si>
  <si>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</si>
  <si>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</si>
  <si>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</si>
  <si>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</si>
  <si>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</si>
  <si>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</si>
  <si>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</si>
  <si>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</si>
  <si>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</si>
  <si>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</si>
  <si>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</si>
  <si>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</si>
  <si>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</si>
  <si>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</si>
  <si>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</si>
  <si>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</si>
  <si>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</si>
  <si>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</si>
  <si>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</si>
  <si>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</si>
  <si>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</si>
  <si>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</si>
  <si>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</si>
  <si>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</si>
  <si>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</si>
  <si>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</si>
  <si>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</si>
  <si>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</si>
  <si>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</si>
  <si>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</si>
  <si>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</si>
  <si>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</si>
  <si>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</si>
  <si>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</si>
  <si>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</si>
  <si>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</si>
  <si>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</si>
  <si>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</si>
  <si>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</si>
  <si>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</si>
  <si>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</si>
  <si>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</si>
  <si>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</si>
  <si>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</si>
  <si>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</si>
  <si>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</si>
  <si>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</si>
  <si>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</si>
  <si>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</si>
  <si>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</si>
  <si>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</si>
  <si>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</si>
  <si>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</si>
  <si>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</si>
  <si>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</si>
  <si>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</si>
  <si>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</si>
  <si>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</si>
  <si>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</si>
  <si>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</si>
  <si>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</si>
  <si>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</si>
  <si>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</si>
  <si>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</si>
  <si>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</si>
  <si>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</si>
  <si>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</si>
  <si>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</si>
  <si>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</si>
  <si>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</si>
  <si>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</si>
  <si>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</si>
  <si>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</si>
  <si>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</si>
  <si>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</si>
  <si>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</si>
  <si>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</si>
  <si>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</si>
  <si>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</si>
  <si>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</si>
  <si>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</si>
  <si>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</si>
  <si>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</si>
  <si>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</si>
  <si>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</si>
  <si>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</si>
  <si>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</si>
  <si>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</si>
  <si>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</si>
  <si>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</si>
  <si>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</si>
  <si>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</si>
  <si>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</si>
  <si>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</si>
  <si>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</si>
  <si>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</si>
  <si>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</si>
  <si>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</si>
  <si>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</si>
  <si>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</si>
  <si>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</si>
  <si>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</si>
  <si>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</si>
  <si>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</si>
  <si>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</si>
  <si>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</si>
  <si>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</si>
  <si>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</si>
  <si>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</si>
  <si>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</si>
  <si>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</si>
  <si>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</si>
  <si>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</si>
  <si>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</si>
  <si>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</si>
  <si>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</si>
  <si>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</si>
  <si>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</si>
  <si>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</si>
  <si>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</si>
  <si>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</si>
  <si>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</si>
  <si>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</si>
  <si>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</si>
  <si>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</si>
  <si>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</si>
  <si>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</si>
  <si>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</si>
  <si>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</si>
  <si>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</si>
  <si>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</si>
  <si>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</si>
  <si>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</si>
  <si>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</si>
  <si>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</si>
  <si>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</si>
  <si>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</si>
  <si>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</si>
  <si>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</si>
  <si>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</si>
  <si>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</si>
  <si>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</si>
  <si>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</si>
  <si>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</si>
  <si>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</si>
  <si>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</si>
  <si>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</si>
  <si>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</si>
  <si>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</si>
  <si>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</si>
  <si>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</si>
  <si>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</si>
  <si>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</si>
  <si>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</si>
  <si>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</si>
  <si>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</si>
  <si>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</si>
  <si>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</si>
  <si>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</si>
  <si>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</si>
  <si>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</si>
  <si>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</si>
  <si>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</si>
  <si>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</si>
  <si>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</si>
  <si>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</si>
  <si>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</si>
  <si>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</si>
  <si>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</si>
  <si>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</si>
  <si>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</si>
  <si>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</si>
  <si>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</si>
  <si>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</si>
  <si>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</si>
  <si>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</si>
  <si>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</si>
  <si>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</si>
  <si>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</si>
  <si>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</si>
  <si>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</si>
  <si>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</si>
  <si>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</si>
  <si>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</si>
  <si>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</si>
  <si>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</si>
  <si>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</si>
  <si>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</si>
  <si>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</si>
  <si>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</si>
  <si>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</si>
  <si>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</si>
  <si>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</si>
  <si>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</si>
  <si>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</si>
  <si>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</si>
  <si>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</si>
  <si>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</si>
  <si>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</si>
  <si>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</si>
  <si>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</si>
  <si>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</si>
  <si>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</si>
  <si>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</si>
  <si>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</si>
  <si>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</si>
  <si>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</si>
  <si>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</si>
  <si>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</si>
  <si>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</si>
  <si>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</si>
  <si>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</si>
  <si>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</si>
  <si>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</si>
  <si>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</si>
  <si>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</si>
  <si>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</si>
  <si>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</si>
  <si>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</si>
  <si>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</si>
  <si>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</si>
  <si>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</si>
  <si>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</si>
  <si>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</si>
  <si>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</si>
  <si>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</si>
  <si>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</si>
  <si>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</si>
  <si>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</si>
  <si>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</si>
  <si>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</si>
  <si>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</si>
  <si>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</si>
  <si>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</si>
  <si>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</si>
  <si>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</si>
  <si>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</si>
  <si>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</si>
  <si>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</si>
  <si>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</si>
  <si>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</si>
  <si>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</si>
  <si>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</si>
  <si>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</si>
  <si>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</si>
  <si>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</si>
  <si>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</si>
  <si>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</si>
  <si>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</si>
  <si>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</si>
  <si>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</si>
  <si>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</si>
  <si>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</si>
  <si>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</si>
  <si>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</si>
  <si>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</si>
  <si>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</si>
  <si>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</si>
  <si>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</si>
  <si>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</si>
  <si>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</si>
  <si>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</si>
  <si>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</si>
  <si>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</si>
  <si>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</si>
  <si>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</si>
  <si>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</si>
  <si>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</si>
  <si>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</si>
  <si>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</si>
  <si>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</si>
  <si>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</si>
  <si>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</si>
  <si>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</si>
  <si>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</si>
  <si>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</si>
  <si>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</si>
  <si>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</si>
  <si>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</si>
  <si>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</si>
  <si>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</si>
  <si>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</si>
  <si>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</si>
  <si>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</si>
  <si>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</si>
  <si>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</si>
  <si>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</si>
  <si>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</si>
  <si>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</si>
  <si>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</si>
  <si>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</si>
  <si>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</si>
  <si>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</si>
  <si>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</si>
  <si>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</si>
  <si>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</si>
  <si>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</si>
  <si>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</si>
  <si>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</si>
  <si>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</si>
  <si>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</si>
  <si>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</si>
  <si>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</si>
  <si>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</si>
  <si>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</si>
  <si>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</si>
  <si>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</si>
  <si>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</si>
  <si>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</si>
  <si>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</si>
  <si>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</si>
  <si>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</si>
  <si>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</si>
  <si>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</si>
  <si>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</si>
  <si>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</si>
  <si>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</si>
  <si>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</si>
  <si>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</si>
  <si>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</si>
  <si>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</si>
  <si>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</si>
  <si>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</si>
  <si>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</si>
  <si>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</si>
  <si>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</si>
  <si>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</si>
  <si>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</si>
  <si>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</si>
  <si>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</si>
  <si>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</si>
  <si>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</si>
  <si>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</si>
  <si>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</si>
  <si>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</si>
  <si>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</si>
  <si>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</si>
  <si>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</si>
  <si>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</si>
  <si>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</si>
  <si>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</si>
  <si>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</si>
  <si>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</si>
  <si>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</si>
  <si>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</si>
  <si>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</si>
  <si>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</si>
  <si>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</si>
  <si>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</si>
  <si>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</si>
  <si>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</si>
  <si>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</si>
  <si>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</si>
  <si>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</si>
  <si>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</si>
  <si>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</si>
  <si>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</si>
  <si>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</si>
  <si>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</si>
  <si>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</si>
  <si>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</si>
  <si>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</si>
  <si>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</si>
  <si>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</si>
  <si>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</si>
  <si>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</si>
  <si>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</si>
  <si>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</si>
  <si>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</si>
  <si>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</si>
  <si>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</si>
  <si>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</si>
  <si>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</si>
  <si>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</si>
  <si>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</si>
  <si>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</si>
  <si>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</si>
  <si>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</si>
  <si>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</si>
  <si>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</si>
  <si>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</si>
  <si>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</si>
  <si>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</si>
  <si>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</si>
  <si>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</si>
  <si>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</si>
  <si>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</si>
  <si>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</si>
  <si>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</si>
  <si>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</si>
  <si>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</si>
  <si>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</si>
  <si>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</si>
  <si>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</si>
  <si>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</si>
  <si>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</si>
  <si>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</si>
  <si>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</si>
  <si>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</si>
  <si>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</si>
  <si>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</si>
  <si>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</si>
  <si>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</si>
  <si>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</si>
  <si>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</si>
  <si>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</si>
  <si>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</si>
  <si>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</si>
  <si>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</si>
  <si>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</si>
  <si>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</si>
  <si>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</si>
  <si>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</si>
  <si>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</si>
  <si>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</si>
  <si>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</si>
  <si>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</si>
  <si>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</si>
  <si>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</si>
  <si>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</si>
  <si>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</si>
  <si>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</si>
  <si>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</si>
  <si>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</si>
  <si>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</si>
  <si>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</si>
  <si>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</si>
  <si>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</si>
  <si>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</si>
  <si>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</si>
  <si>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</si>
  <si>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</si>
  <si>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</si>
  <si>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</si>
  <si>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</si>
  <si>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</si>
  <si>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</si>
  <si>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</si>
  <si>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</si>
  <si>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</si>
  <si>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</si>
  <si>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</si>
  <si>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</si>
  <si>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</si>
  <si>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</si>
  <si>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</si>
  <si>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</si>
  <si>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</si>
  <si>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</si>
  <si>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</si>
  <si>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</si>
  <si>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</si>
  <si>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</si>
  <si>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</si>
  <si>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</si>
  <si>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</si>
  <si>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</si>
  <si>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</si>
  <si>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</si>
  <si>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</si>
  <si>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</si>
  <si>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</si>
  <si>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</si>
  <si>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</si>
  <si>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</si>
  <si>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</si>
  <si>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</si>
  <si>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</si>
  <si>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</si>
  <si>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</si>
  <si>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</si>
  <si>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</si>
  <si>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</si>
  <si>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</si>
  <si>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</si>
  <si>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</si>
  <si>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</si>
  <si>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</si>
  <si>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</si>
  <si>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</si>
  <si>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</si>
  <si>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</si>
  <si>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</si>
  <si>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</si>
  <si>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</si>
  <si>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</si>
  <si>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</si>
  <si>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</si>
  <si>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</si>
  <si>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</si>
  <si>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</si>
  <si>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</si>
  <si>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</si>
  <si>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</si>
  <si>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</si>
  <si>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</si>
  <si>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</si>
  <si>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</si>
  <si>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</si>
  <si>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</si>
  <si>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</si>
  <si>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</si>
  <si>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</si>
  <si>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</si>
  <si>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</si>
  <si>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</si>
  <si>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</si>
  <si>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</si>
  <si>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</si>
  <si>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</si>
  <si>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</si>
  <si>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</si>
  <si>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</si>
  <si>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</si>
  <si>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</si>
  <si>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</si>
  <si>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</si>
  <si>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</si>
  <si>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</si>
  <si>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</si>
  <si>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</si>
  <si>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</si>
  <si>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</si>
  <si>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</si>
  <si>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</si>
  <si>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</si>
  <si>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</si>
  <si>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</si>
  <si>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</si>
  <si>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</si>
  <si>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</si>
  <si>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</si>
  <si>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</si>
  <si>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</si>
  <si>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</si>
  <si>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</si>
  <si>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</si>
  <si>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</si>
  <si>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</si>
  <si>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</si>
  <si>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</si>
  <si>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</si>
  <si>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</si>
  <si>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</si>
  <si>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</si>
  <si>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</si>
  <si>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</si>
  <si>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</si>
  <si>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</si>
  <si>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</si>
  <si>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</si>
  <si>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</si>
  <si>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</si>
  <si>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</si>
  <si>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</si>
  <si>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</si>
  <si>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</si>
  <si>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</si>
  <si>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</si>
  <si>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</si>
  <si>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</si>
  <si>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</si>
  <si>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</si>
  <si>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</si>
  <si>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</si>
  <si>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</si>
  <si>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</si>
  <si>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</si>
  <si>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</si>
  <si>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</si>
  <si>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</si>
  <si>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</si>
  <si>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</si>
  <si>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</si>
  <si>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</si>
  <si>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</si>
  <si>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</si>
  <si>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</si>
  <si>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</si>
  <si>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</si>
  <si>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</si>
  <si>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</si>
  <si>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</si>
  <si>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</si>
  <si>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</si>
  <si>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</si>
  <si>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</si>
  <si>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</si>
  <si>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</si>
  <si>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</si>
  <si>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</si>
  <si>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</si>
  <si>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</si>
  <si>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</si>
  <si>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</si>
  <si>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</si>
  <si>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</si>
  <si>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</si>
  <si>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</si>
  <si>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</si>
  <si>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</si>
  <si>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</si>
  <si>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</si>
  <si>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</si>
  <si>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</si>
  <si>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</si>
  <si>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</si>
  <si>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</si>
  <si>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</si>
  <si>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</si>
  <si>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</si>
  <si>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</si>
  <si>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</si>
  <si>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</si>
  <si>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</si>
  <si>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</si>
  <si>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</si>
  <si>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</si>
  <si>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</si>
  <si>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</si>
  <si>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</si>
  <si>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</si>
  <si>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</si>
  <si>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</si>
  <si>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</si>
  <si>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</si>
  <si>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</si>
  <si>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</si>
  <si>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</si>
  <si>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</si>
  <si>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</si>
  <si>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</si>
  <si>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</si>
  <si>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</si>
  <si>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</si>
  <si>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</si>
  <si>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</si>
  <si>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</si>
  <si>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</si>
  <si>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</si>
  <si>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</si>
  <si>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</si>
  <si>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</si>
  <si>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</si>
  <si>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</si>
  <si>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</si>
  <si>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</si>
  <si>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</si>
  <si>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</si>
  <si>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</si>
  <si>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</si>
  <si>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</si>
  <si>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</si>
  <si>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</si>
  <si>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</si>
  <si>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</si>
  <si>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</si>
  <si>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</si>
  <si>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</si>
  <si>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</si>
  <si>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</si>
  <si>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</si>
  <si>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</si>
  <si>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</si>
  <si>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</si>
  <si>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</si>
  <si>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</si>
  <si>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</si>
  <si>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</si>
  <si>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</si>
  <si>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</si>
  <si>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</si>
  <si>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</si>
  <si>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</si>
  <si>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</si>
  <si>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</si>
  <si>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</si>
  <si>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</si>
  <si>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</si>
  <si>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</si>
  <si>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</si>
  <si>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</si>
  <si>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</si>
  <si>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</si>
  <si>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</si>
  <si>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</si>
  <si>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</si>
  <si>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</si>
  <si>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</si>
  <si>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</si>
  <si>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</si>
  <si>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</si>
  <si>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</si>
  <si>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</si>
  <si>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</si>
  <si>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</si>
  <si>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</si>
  <si>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</si>
  <si>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</si>
  <si>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</si>
  <si>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</si>
  <si>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</si>
  <si>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</si>
  <si>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</si>
  <si>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</si>
  <si>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</si>
  <si>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</si>
  <si>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</si>
  <si>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</si>
  <si>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</si>
  <si>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</si>
  <si>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</si>
  <si>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</si>
  <si>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</si>
  <si>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</si>
  <si>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</si>
  <si>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</si>
  <si>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</si>
  <si>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</si>
  <si>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</si>
  <si>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</si>
  <si>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</si>
  <si>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</si>
  <si>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</si>
  <si>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</si>
  <si>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</si>
  <si>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</si>
  <si>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</si>
  <si>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</si>
  <si>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</si>
  <si>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</si>
  <si>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</si>
  <si>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</si>
  <si>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</si>
  <si>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</si>
  <si>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</si>
  <si>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</si>
  <si>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</si>
  <si>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</si>
  <si>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</si>
  <si>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</si>
  <si>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</si>
  <si>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</si>
  <si>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</si>
  <si>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</si>
  <si>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</si>
  <si>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</si>
  <si>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</si>
  <si>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</si>
  <si>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</si>
  <si>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</si>
  <si>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</si>
  <si>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</si>
  <si>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</si>
  <si>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</si>
  <si>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</si>
  <si>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</si>
  <si>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</si>
  <si>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</si>
  <si>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</si>
  <si>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</si>
  <si>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</si>
  <si>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</si>
  <si>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</si>
  <si>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</si>
  <si>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</si>
  <si>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</si>
  <si>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</si>
  <si>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</si>
  <si>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</si>
  <si>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</si>
  <si>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</si>
  <si>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</si>
  <si>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</si>
  <si>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</si>
  <si>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</si>
  <si>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</si>
  <si>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</si>
  <si>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</si>
  <si>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</si>
  <si>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</si>
  <si>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</si>
  <si>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</si>
  <si>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</si>
  <si>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</si>
  <si>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</si>
  <si>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</si>
  <si>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</si>
  <si>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</si>
  <si>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</si>
  <si>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</si>
  <si>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</si>
  <si>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</si>
  <si>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</si>
  <si>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</si>
  <si>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</si>
  <si>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</si>
  <si>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</si>
  <si>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</si>
  <si>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</si>
  <si>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</si>
  <si>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</si>
  <si>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</si>
  <si>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</si>
  <si>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</si>
  <si>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</si>
  <si>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</si>
  <si>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</si>
  <si>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</si>
  <si>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</si>
  <si>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</si>
  <si>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</si>
  <si>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</si>
  <si>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</si>
  <si>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</si>
  <si>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</si>
  <si>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</si>
  <si>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</si>
  <si>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</si>
  <si>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</si>
  <si>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</si>
  <si>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</si>
  <si>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</si>
  <si>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</si>
  <si>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</si>
  <si>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</si>
  <si>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</si>
  <si>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</si>
  <si>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</si>
  <si>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</si>
  <si>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</si>
  <si>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</si>
  <si>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</si>
  <si>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</si>
  <si>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</si>
  <si>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</si>
  <si>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</si>
  <si>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</si>
  <si>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</si>
  <si>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</si>
  <si>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</si>
  <si>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</si>
  <si>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</si>
  <si>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</si>
  <si>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</si>
  <si>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</si>
  <si>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</si>
  <si>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</si>
  <si>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</si>
  <si>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</si>
  <si>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</si>
  <si>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</si>
  <si>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</si>
  <si>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</si>
  <si>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</si>
  <si>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</si>
  <si>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</si>
  <si>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</si>
  <si>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</si>
  <si>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</si>
  <si>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</si>
  <si>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</si>
  <si>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</si>
  <si>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</si>
  <si>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</si>
  <si>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</si>
  <si>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</si>
  <si>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</si>
  <si>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</si>
  <si>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</si>
  <si>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</si>
  <si>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</si>
  <si>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</si>
  <si>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</si>
  <si>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</si>
  <si>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</si>
  <si>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</si>
  <si>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</si>
  <si>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</si>
  <si>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</si>
  <si>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</si>
  <si>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</si>
  <si>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</si>
  <si>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</si>
  <si>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</si>
  <si>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</si>
  <si>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</si>
  <si>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</si>
  <si>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</si>
  <si>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</si>
  <si>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</si>
  <si>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</si>
  <si>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</si>
  <si>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</si>
  <si>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</si>
  <si>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</si>
  <si>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</si>
  <si>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</si>
  <si>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</si>
  <si>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</si>
  <si>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</si>
  <si>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</si>
  <si>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</si>
  <si>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</si>
  <si>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</si>
  <si>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</si>
  <si>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</si>
  <si>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</si>
  <si>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</si>
  <si>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</si>
  <si>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</si>
  <si>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</si>
  <si>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</si>
  <si>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</si>
  <si>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</si>
  <si>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</si>
  <si>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</si>
  <si>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</si>
  <si>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</si>
  <si>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</si>
  <si>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</si>
  <si>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</si>
  <si>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</si>
  <si>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</si>
  <si>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</si>
  <si>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</si>
  <si>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</si>
  <si>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</si>
  <si>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</si>
  <si>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</si>
  <si>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</si>
  <si>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</si>
  <si>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</si>
  <si>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</si>
  <si>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</si>
  <si>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</si>
  <si>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</si>
  <si>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</si>
  <si>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</si>
  <si>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</si>
  <si>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</si>
  <si>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</si>
  <si>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</si>
  <si>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</si>
  <si>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</si>
  <si>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</si>
  <si>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</si>
  <si>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</si>
  <si>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</si>
  <si>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</si>
  <si>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</si>
  <si>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</si>
  <si>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</si>
  <si>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</si>
  <si>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</si>
  <si>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</si>
  <si>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</si>
  <si>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</si>
  <si>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</si>
  <si>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</si>
  <si>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</si>
  <si>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</si>
  <si>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</si>
  <si>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</si>
  <si>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</si>
  <si>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</si>
  <si>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</si>
  <si>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</si>
  <si>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</si>
  <si>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</si>
  <si>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</si>
  <si>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</si>
  <si>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</si>
  <si>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</si>
  <si>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</si>
  <si>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</si>
  <si>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</si>
  <si>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</si>
  <si>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</si>
  <si>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</si>
  <si>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</si>
  <si>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</si>
  <si>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</si>
  <si>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</si>
  <si>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</si>
  <si>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</si>
  <si>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</si>
  <si>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</si>
  <si>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</si>
  <si>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</si>
  <si>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</si>
  <si>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</si>
  <si>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</si>
  <si>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</si>
  <si>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</si>
  <si>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</si>
  <si>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</si>
  <si>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</si>
  <si>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</si>
  <si>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</si>
  <si>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</si>
  <si>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</si>
  <si>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</si>
  <si>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</si>
  <si>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</si>
  <si>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</si>
  <si>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</si>
  <si>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</si>
  <si>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</si>
  <si>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</si>
  <si>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</si>
  <si>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</si>
  <si>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</si>
  <si>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</si>
  <si>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</si>
  <si>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</si>
  <si>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</si>
  <si>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</si>
  <si>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</si>
  <si>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</si>
  <si>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</si>
  <si>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</si>
  <si>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</si>
  <si>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</si>
  <si>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</si>
  <si>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</si>
  <si>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</si>
  <si>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</si>
  <si>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</si>
  <si>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</si>
  <si>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</si>
  <si>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</si>
  <si>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</si>
  <si>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</si>
  <si>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</si>
  <si>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</si>
  <si>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</si>
  <si>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</si>
  <si>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</si>
  <si>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</si>
  <si>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</si>
  <si>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</si>
  <si>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</si>
  <si>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</si>
  <si>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</si>
  <si>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</si>
  <si>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</si>
  <si>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</si>
  <si>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</si>
  <si>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</si>
  <si>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</si>
  <si>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</si>
  <si>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</si>
  <si>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</si>
  <si>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</si>
  <si>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</si>
  <si>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</si>
  <si>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</si>
  <si>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</si>
  <si>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</si>
  <si>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</si>
  <si>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</si>
  <si>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</si>
  <si>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</si>
  <si>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</si>
  <si>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</si>
  <si>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</si>
  <si>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</si>
  <si>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</si>
  <si>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</si>
  <si>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</si>
  <si>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</si>
  <si>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</si>
  <si>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</si>
  <si>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</si>
  <si>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</si>
  <si>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</si>
  <si>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</si>
  <si>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</si>
  <si>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</si>
  <si>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</si>
  <si>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</si>
  <si>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</si>
  <si>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</si>
  <si>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</si>
  <si>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</si>
  <si>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</si>
  <si>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</si>
  <si>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</si>
  <si>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</si>
  <si>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</si>
  <si>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</si>
  <si>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</si>
  <si>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</si>
  <si>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</si>
  <si>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</si>
  <si>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</si>
  <si>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</si>
  <si>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</si>
  <si>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</si>
  <si>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</si>
  <si>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</si>
  <si>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</si>
  <si>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</si>
  <si>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</si>
  <si>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</si>
  <si>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</si>
  <si>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</si>
  <si>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</si>
  <si>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</si>
  <si>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</si>
  <si>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</si>
  <si>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</si>
  <si>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</si>
  <si>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</si>
  <si>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</si>
  <si>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</si>
  <si>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</si>
  <si>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</si>
  <si>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</si>
  <si>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</si>
  <si>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</si>
  <si>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</si>
  <si>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</si>
  <si>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</si>
  <si>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</si>
  <si>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</si>
  <si>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</si>
  <si>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</si>
  <si>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</si>
  <si>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</si>
  <si>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</si>
  <si>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</si>
  <si>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</si>
  <si>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</si>
  <si>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</si>
  <si>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</si>
  <si>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</si>
  <si>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</si>
  <si>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</si>
  <si>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</si>
  <si>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</si>
  <si>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</si>
  <si>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</si>
  <si>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</si>
  <si>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</si>
  <si>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</si>
  <si>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</si>
  <si>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</si>
  <si>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</si>
  <si>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</si>
  <si>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</si>
  <si>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</si>
  <si>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</si>
  <si>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</si>
  <si>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</si>
  <si>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</si>
  <si>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</si>
  <si>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</si>
  <si>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</si>
  <si>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</si>
  <si>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</si>
  <si>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</si>
  <si>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</si>
  <si>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</si>
  <si>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</si>
  <si>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</si>
  <si>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</si>
  <si>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</si>
  <si>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</si>
  <si>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</si>
  <si>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</si>
  <si>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</si>
  <si>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</si>
  <si>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</si>
  <si>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</si>
  <si>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</si>
  <si>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</si>
  <si>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</si>
  <si>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</si>
  <si>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</si>
  <si>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</si>
  <si>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</si>
  <si>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</si>
  <si>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</si>
  <si>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</si>
  <si>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</si>
  <si>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</si>
  <si>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</si>
  <si>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</si>
  <si>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</si>
  <si>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</si>
  <si>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</si>
  <si>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</si>
  <si>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</si>
  <si>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</si>
  <si>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</si>
  <si>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</si>
  <si>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</si>
  <si>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</si>
  <si>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</si>
  <si>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</si>
  <si>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</si>
  <si>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</si>
  <si>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</si>
  <si>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</si>
  <si>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</si>
  <si>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</si>
  <si>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</si>
  <si>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</si>
  <si>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</si>
  <si>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</si>
  <si>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</si>
  <si>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</si>
  <si>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</si>
  <si>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</si>
  <si>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</si>
  <si>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</si>
  <si>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</si>
  <si>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</si>
  <si>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</si>
  <si>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</si>
  <si>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</si>
  <si>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</si>
  <si>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</si>
  <si>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</si>
  <si>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</si>
  <si>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</si>
  <si>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</si>
  <si>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</si>
  <si>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</si>
  <si>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</si>
  <si>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</si>
  <si>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</si>
  <si>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</si>
  <si>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</si>
  <si>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</si>
  <si>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</si>
  <si>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</si>
  <si>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</si>
  <si>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</si>
  <si>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</si>
  <si>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</si>
  <si>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</si>
  <si>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</si>
  <si>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</si>
  <si>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</si>
  <si>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</si>
  <si>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</si>
  <si>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</si>
  <si>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</si>
  <si>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</si>
  <si>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</si>
  <si>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</si>
  <si>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</si>
  <si>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</si>
  <si>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</si>
  <si>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</si>
  <si>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</si>
  <si>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</si>
  <si>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</si>
  <si>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</si>
  <si>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</si>
  <si>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</si>
  <si>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</si>
  <si>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</si>
  <si>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</si>
  <si>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</si>
  <si>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</si>
  <si>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</si>
  <si>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</si>
  <si>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</si>
  <si>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</si>
  <si>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</si>
  <si>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</si>
  <si>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</si>
  <si>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</si>
  <si>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</si>
  <si>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</si>
  <si>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</si>
  <si>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</si>
  <si>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</si>
  <si>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</si>
  <si>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</si>
  <si>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</si>
  <si>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</si>
  <si>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</si>
  <si>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</si>
  <si>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</si>
  <si>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</si>
  <si>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</si>
  <si>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</si>
  <si>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</si>
  <si>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</si>
  <si>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</si>
  <si>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</si>
  <si>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</si>
  <si>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</si>
  <si>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</si>
  <si>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</si>
  <si>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</si>
  <si>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</si>
  <si>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</si>
  <si>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</si>
  <si>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</si>
  <si>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</si>
  <si>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</si>
  <si>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</si>
  <si>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</si>
  <si>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</si>
  <si>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</si>
  <si>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</si>
  <si>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</si>
  <si>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</si>
  <si>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</si>
  <si>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</si>
  <si>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</si>
  <si>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</si>
  <si>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</si>
  <si>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</si>
  <si>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</si>
  <si>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</si>
  <si>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</si>
  <si>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</si>
  <si>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</si>
  <si>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</si>
  <si>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</si>
  <si>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</si>
  <si>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</si>
  <si>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</si>
  <si>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</si>
  <si>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</si>
  <si>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</si>
  <si>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</si>
  <si>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</si>
  <si>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</si>
  <si>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</si>
  <si>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</si>
  <si>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</si>
  <si>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</si>
  <si>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</si>
  <si>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</si>
  <si>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</si>
  <si>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</si>
  <si>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</si>
  <si>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</si>
  <si>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</si>
  <si>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</si>
  <si>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</si>
  <si>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</si>
  <si>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</si>
  <si>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</si>
  <si>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</si>
  <si>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</si>
  <si>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</si>
  <si>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</si>
  <si>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</si>
  <si>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</si>
  <si>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</si>
  <si>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</si>
  <si>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</si>
  <si>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</si>
  <si>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</si>
  <si>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</si>
  <si>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</si>
  <si>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</si>
  <si>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</si>
  <si>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</si>
  <si>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</si>
  <si>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</si>
  <si>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</si>
  <si>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</si>
  <si>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</si>
  <si>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</si>
  <si>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</si>
  <si>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</si>
  <si>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</si>
  <si>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</si>
  <si>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</si>
  <si>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</si>
  <si>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</si>
  <si>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</si>
  <si>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</si>
  <si>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</si>
  <si>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</si>
  <si>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</si>
  <si>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</si>
  <si>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</si>
  <si>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</si>
  <si>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</si>
  <si>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</si>
  <si>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</si>
  <si>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</si>
  <si>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</si>
  <si>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</si>
  <si>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</si>
  <si>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</si>
  <si>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</si>
  <si>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</si>
  <si>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</si>
  <si>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</si>
  <si>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</si>
  <si>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</si>
  <si>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</si>
  <si>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</si>
  <si>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</si>
  <si>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</si>
  <si>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</si>
  <si>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</si>
  <si>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</si>
  <si>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</si>
  <si>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</si>
  <si>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</si>
  <si>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</si>
  <si>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</si>
  <si>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</si>
  <si>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</si>
  <si>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</si>
  <si>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</si>
  <si>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</si>
  <si>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</si>
  <si>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</si>
  <si>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</si>
  <si>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</si>
  <si>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</si>
  <si>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</si>
  <si>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</si>
  <si>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</si>
  <si>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</si>
  <si>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</si>
  <si>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</si>
  <si>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</si>
  <si>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</si>
  <si>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</si>
  <si>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</si>
  <si>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</si>
  <si>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</si>
  <si>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</si>
  <si>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</si>
  <si>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</si>
  <si>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</si>
  <si>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</si>
  <si>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</si>
  <si>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</si>
  <si>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</si>
  <si>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</si>
  <si>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</si>
  <si>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</si>
  <si>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</si>
  <si>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</si>
  <si>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</si>
  <si>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</si>
  <si>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</si>
  <si>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</si>
  <si>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</si>
  <si>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</si>
  <si>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</si>
  <si>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</si>
  <si>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</si>
  <si>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</si>
  <si>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</si>
  <si>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</si>
  <si>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</si>
  <si>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</si>
  <si>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</si>
  <si>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</si>
  <si>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</si>
  <si>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</si>
  <si>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</si>
  <si>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</si>
  <si>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</si>
  <si>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</si>
  <si>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</si>
  <si>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</si>
  <si>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</si>
  <si>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</si>
  <si>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</si>
  <si>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</si>
  <si>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</si>
  <si>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</si>
  <si>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</si>
  <si>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</si>
  <si>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</si>
  <si>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</si>
  <si>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</si>
  <si>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</si>
  <si>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</si>
  <si>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</si>
  <si>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</si>
  <si>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</si>
  <si>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</si>
  <si>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</si>
  <si>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</si>
  <si>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</si>
  <si>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</si>
  <si>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</si>
  <si>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</si>
  <si>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</si>
  <si>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</si>
  <si>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</si>
  <si>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</si>
  <si>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</si>
  <si>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</si>
  <si>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</si>
  <si>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</si>
  <si>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</si>
  <si>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</si>
  <si>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</si>
  <si>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</si>
  <si>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</si>
  <si>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</si>
  <si>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</si>
  <si>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</si>
  <si>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</si>
  <si>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</si>
  <si>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</si>
  <si>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</si>
  <si>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</si>
  <si>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</si>
  <si>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</si>
  <si>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</si>
  <si>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</si>
  <si>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</si>
  <si>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</si>
  <si>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</si>
  <si>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</si>
  <si>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</si>
  <si>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</si>
  <si>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</si>
  <si>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</si>
  <si>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</si>
  <si>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</si>
  <si>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</si>
  <si>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</si>
  <si>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</si>
  <si>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</si>
  <si>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</si>
  <si>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</si>
  <si>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</si>
  <si>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</si>
  <si>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</si>
  <si>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</si>
  <si>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</si>
  <si>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</si>
  <si>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</si>
  <si>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</si>
  <si>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</si>
  <si>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</si>
  <si>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</si>
  <si>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</si>
  <si>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</si>
  <si>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</si>
  <si>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</si>
  <si>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</si>
  <si>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</si>
  <si>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</si>
  <si>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</si>
  <si>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</si>
  <si>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</si>
  <si>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</si>
  <si>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</si>
  <si>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</si>
  <si>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</si>
  <si>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</si>
  <si>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</si>
  <si>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</si>
  <si>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</si>
  <si>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</si>
  <si>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</si>
  <si>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</si>
  <si>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</si>
  <si>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</si>
  <si>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</si>
  <si>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</si>
  <si>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</si>
  <si>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</si>
  <si>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</si>
  <si>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</si>
  <si>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</si>
  <si>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</si>
  <si>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</si>
  <si>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</si>
  <si>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</si>
  <si>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</si>
  <si>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</si>
  <si>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</si>
  <si>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</si>
  <si>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</si>
  <si>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</si>
  <si>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</si>
  <si>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</si>
  <si>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</si>
  <si>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</si>
  <si>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</si>
  <si>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</si>
  <si>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</si>
  <si>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</si>
  <si>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</si>
  <si>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</si>
  <si>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</si>
  <si>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</si>
  <si>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</si>
  <si>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</si>
  <si>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</si>
  <si>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</si>
  <si>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</si>
  <si>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</si>
  <si>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</si>
  <si>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</si>
  <si>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</si>
  <si>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</si>
  <si>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</si>
  <si>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</si>
  <si>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</si>
  <si>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</si>
  <si>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</si>
  <si>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</si>
  <si>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</si>
  <si>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</si>
  <si>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</si>
  <si>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</si>
  <si>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</si>
  <si>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</si>
  <si>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</si>
  <si>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</si>
  <si>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</si>
  <si>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</si>
  <si>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</si>
  <si>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</si>
  <si>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</si>
  <si>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</si>
  <si>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</si>
  <si>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</si>
  <si>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</si>
  <si>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</si>
  <si>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</si>
  <si>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</si>
  <si>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</si>
  <si>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</si>
  <si>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</si>
  <si>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</si>
  <si>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</si>
  <si>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</si>
  <si>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</si>
  <si>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</si>
  <si>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</si>
  <si>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</si>
  <si>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</si>
  <si>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</si>
  <si>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</si>
  <si>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</si>
  <si>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</si>
  <si>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</si>
  <si>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</si>
  <si>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</si>
  <si>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</si>
  <si>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</si>
  <si>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</si>
  <si>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</si>
  <si>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</si>
  <si>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</si>
  <si>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</si>
  <si>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</si>
  <si>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</si>
  <si>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</si>
  <si>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</si>
  <si>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</si>
  <si>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</si>
  <si>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</si>
  <si>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</si>
  <si>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</si>
  <si>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</si>
  <si>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</si>
  <si>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</si>
  <si>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</si>
  <si>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</si>
  <si>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</si>
  <si>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</si>
  <si>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</si>
  <si>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</si>
  <si>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</si>
  <si>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</si>
  <si>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</si>
  <si>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</si>
  <si>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</si>
  <si>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</si>
  <si>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</si>
  <si>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</si>
  <si>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</si>
  <si>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</si>
  <si>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</si>
  <si>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</si>
  <si>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</si>
  <si>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</si>
  <si>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</si>
  <si>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</si>
  <si>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</si>
  <si>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</si>
  <si>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</si>
  <si>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</si>
  <si>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</si>
  <si>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</si>
  <si>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</si>
  <si>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</si>
  <si>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</si>
  <si>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</si>
  <si>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</si>
  <si>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</si>
  <si>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</si>
  <si>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</si>
  <si>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</si>
  <si>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</si>
  <si>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</si>
  <si>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</si>
  <si>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</si>
  <si>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</si>
  <si>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</si>
  <si>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</si>
  <si>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</si>
  <si>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</si>
  <si>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</si>
  <si>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</si>
  <si>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</si>
  <si>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</si>
  <si>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</si>
  <si>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</si>
  <si>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</si>
  <si>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</si>
  <si>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</si>
  <si>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</si>
  <si>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</si>
  <si>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</si>
  <si>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</si>
  <si>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</si>
  <si>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</si>
  <si>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</si>
  <si>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</si>
  <si>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</si>
  <si>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</si>
  <si>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</si>
  <si>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</si>
  <si>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</si>
  <si>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</si>
  <si>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</si>
  <si>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</si>
  <si>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</si>
  <si>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</si>
  <si>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</si>
  <si>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</si>
  <si>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</si>
  <si>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</si>
  <si>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</si>
  <si>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</si>
  <si>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</si>
  <si>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</si>
  <si>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</si>
  <si>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</si>
  <si>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</si>
  <si>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</si>
  <si>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</si>
  <si>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</si>
  <si>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</si>
  <si>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</si>
  <si>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</si>
  <si>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</si>
  <si>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</si>
  <si>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</si>
  <si>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</si>
  <si>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</si>
  <si>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</si>
  <si>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</si>
  <si>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</si>
  <si>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</si>
  <si>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</si>
  <si>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</si>
  <si>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</si>
  <si>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</si>
  <si>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</si>
  <si>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</si>
  <si>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</si>
  <si>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</si>
  <si>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</si>
  <si>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</si>
  <si>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</si>
  <si>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</si>
  <si>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</si>
  <si>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</si>
  <si>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</si>
  <si>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</si>
  <si>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</si>
  <si>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</si>
  <si>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</si>
  <si>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</si>
  <si>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</si>
  <si>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</si>
  <si>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</si>
  <si>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</si>
  <si>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</si>
  <si>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</si>
  <si>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</si>
  <si>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</si>
  <si>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</si>
  <si>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</si>
  <si>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</si>
  <si>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</si>
  <si>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</si>
  <si>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</si>
  <si>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</si>
  <si>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</si>
  <si>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</si>
  <si>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</si>
  <si>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</si>
  <si>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</si>
  <si>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</si>
  <si>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</si>
  <si>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</si>
  <si>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</si>
  <si>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</si>
  <si>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</si>
  <si>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</si>
  <si>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</si>
  <si>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</si>
  <si>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</si>
  <si>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</si>
  <si>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</si>
  <si>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</si>
  <si>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</si>
  <si>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</si>
  <si>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</si>
  <si>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</si>
  <si>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</si>
  <si>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</si>
  <si>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</si>
  <si>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</si>
  <si>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</si>
  <si>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</si>
  <si>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</si>
  <si>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</si>
  <si>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</si>
  <si>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</si>
  <si>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</si>
  <si>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</si>
  <si>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</si>
  <si>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</si>
  <si>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</si>
  <si>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</si>
  <si>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</si>
  <si>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</si>
  <si>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</si>
  <si>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</si>
  <si>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</si>
  <si>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</si>
  <si>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</si>
  <si>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</si>
  <si>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</si>
  <si>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</si>
  <si>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</si>
  <si>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</si>
  <si>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</si>
  <si>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</si>
  <si>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</si>
  <si>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</si>
  <si>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</si>
  <si>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</si>
  <si>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</si>
  <si>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</si>
  <si>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</si>
  <si>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</si>
  <si>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</si>
  <si>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</si>
  <si>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</si>
  <si>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</si>
  <si>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</si>
  <si>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</si>
  <si>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</si>
  <si>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</si>
  <si>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</si>
  <si>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</si>
  <si>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</si>
  <si>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</si>
  <si>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</si>
  <si>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</si>
  <si>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</si>
  <si>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</si>
  <si>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</si>
  <si>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</si>
  <si>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</si>
  <si>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</si>
  <si>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</si>
  <si>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</si>
  <si>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</si>
  <si>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</si>
  <si>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</si>
  <si>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</si>
  <si>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</si>
  <si>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</si>
  <si>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</si>
  <si>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</si>
  <si>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</si>
  <si>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</si>
  <si>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</si>
  <si>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</si>
  <si>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</si>
  <si>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</si>
  <si>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</si>
  <si>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</si>
  <si>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</si>
  <si>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</si>
  <si>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</si>
  <si>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</si>
  <si>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</si>
  <si>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</si>
  <si>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</si>
  <si>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</si>
  <si>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</si>
  <si>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</si>
  <si>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</si>
  <si>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</si>
  <si>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</si>
  <si>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</si>
  <si>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</si>
  <si>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</si>
  <si>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</si>
  <si>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</si>
  <si>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</si>
  <si>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</si>
  <si>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</si>
  <si>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</si>
  <si>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</si>
  <si>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</si>
  <si>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</si>
  <si>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</si>
  <si>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</si>
  <si>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</si>
  <si>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</si>
  <si>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</si>
  <si>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</si>
  <si>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</si>
  <si>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</si>
  <si>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</si>
  <si>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</si>
  <si>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</si>
  <si>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</si>
  <si>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</si>
  <si>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</si>
  <si>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</si>
  <si>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</si>
  <si>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</si>
  <si>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</si>
  <si>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</si>
  <si>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</si>
  <si>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</si>
  <si>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</si>
  <si>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</si>
  <si>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</si>
  <si>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</si>
  <si>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</si>
  <si>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</si>
  <si>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</si>
  <si>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</si>
  <si>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</si>
  <si>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</si>
  <si>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</si>
  <si>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</si>
  <si>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</si>
  <si>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</si>
  <si>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</si>
  <si>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</si>
  <si>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</si>
  <si>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</si>
  <si>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</si>
  <si>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</si>
  <si>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</si>
  <si>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</si>
  <si>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</si>
  <si>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</si>
  <si>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</si>
  <si>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</si>
  <si>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</si>
  <si>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</si>
  <si>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</si>
  <si>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</si>
  <si>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</si>
  <si>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</si>
  <si>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</si>
  <si>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</si>
  <si>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</si>
  <si>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</si>
  <si>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</si>
  <si>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</si>
  <si>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</si>
  <si>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</si>
  <si>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</si>
  <si>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</si>
  <si>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</si>
  <si>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</si>
  <si>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</si>
  <si>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</si>
  <si>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</si>
  <si>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</si>
  <si>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</si>
  <si>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</si>
  <si>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</si>
  <si>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</si>
  <si>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</si>
  <si>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</si>
  <si>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</si>
  <si>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</si>
  <si>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</si>
  <si>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</si>
  <si>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</si>
  <si>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</si>
  <si>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</si>
  <si>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</si>
  <si>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</si>
  <si>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</si>
  <si>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</si>
  <si>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</si>
  <si>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</si>
  <si>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</si>
  <si>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</si>
  <si>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</si>
  <si>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</si>
  <si>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</si>
  <si>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</si>
  <si>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</si>
  <si>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</si>
  <si>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</si>
  <si>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</si>
  <si>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</si>
  <si>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</si>
  <si>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</si>
  <si>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</si>
  <si>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</si>
  <si>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</si>
  <si>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</si>
  <si>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</si>
  <si>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</si>
  <si>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</si>
  <si>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</si>
  <si>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</si>
  <si>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</si>
  <si>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</si>
  <si>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</si>
  <si>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</si>
  <si>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</si>
  <si>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</si>
  <si>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</si>
  <si>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</si>
  <si>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</si>
  <si>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</si>
  <si>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</si>
  <si>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</si>
  <si>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</si>
  <si>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</si>
  <si>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</si>
  <si>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</si>
  <si>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</si>
  <si>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</si>
  <si>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</si>
  <si>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</si>
  <si>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</si>
  <si>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</si>
  <si>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</si>
  <si>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</si>
  <si>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</si>
  <si>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</si>
  <si>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</si>
  <si>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</si>
  <si>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</si>
  <si>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</si>
  <si>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</si>
  <si>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</si>
  <si>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</si>
  <si>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</si>
  <si>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</si>
  <si>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</si>
  <si>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</si>
  <si>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</si>
  <si>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</si>
  <si>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</si>
  <si>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</si>
  <si>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</si>
  <si>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</si>
  <si>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</si>
  <si>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</si>
  <si>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</si>
  <si>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</si>
  <si>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</si>
  <si>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</si>
  <si>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</si>
  <si>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</si>
  <si>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</si>
  <si>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</si>
  <si>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</si>
  <si>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</si>
  <si>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</si>
  <si>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</si>
  <si>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</si>
  <si>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</si>
  <si>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</si>
  <si>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</si>
  <si>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</si>
  <si>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</si>
  <si>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</si>
  <si>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</si>
  <si>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</si>
  <si>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</si>
  <si>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</si>
  <si>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</si>
  <si>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</si>
  <si>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</si>
  <si>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</si>
  <si>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</si>
  <si>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</si>
  <si>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</si>
  <si>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</si>
  <si>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</si>
  <si>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</si>
  <si>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</si>
  <si>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</si>
  <si>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</si>
  <si>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</si>
  <si>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</si>
  <si>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</si>
  <si>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</si>
  <si>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</si>
  <si>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</si>
  <si>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</si>
  <si>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</si>
  <si>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</si>
  <si>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</si>
  <si>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</si>
  <si>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</si>
  <si>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</si>
  <si>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</si>
  <si>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</si>
  <si>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</si>
  <si>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</si>
  <si>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</si>
  <si>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</si>
  <si>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</si>
  <si>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</si>
  <si>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</si>
  <si>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</si>
  <si>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</si>
  <si>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</si>
  <si>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</si>
  <si>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</si>
  <si>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</si>
  <si>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</si>
  <si>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</si>
  <si>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</si>
  <si>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</si>
  <si>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</si>
  <si>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</si>
  <si>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</si>
  <si>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</si>
  <si>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</si>
  <si>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</si>
  <si>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</si>
  <si>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</si>
  <si>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</si>
  <si>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</si>
  <si>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</si>
  <si>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</si>
  <si>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</si>
  <si>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</si>
  <si>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</si>
  <si>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</si>
  <si>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</si>
  <si>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</si>
  <si>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</si>
  <si>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</si>
  <si>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</si>
  <si>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</si>
  <si>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</si>
  <si>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</si>
  <si>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</si>
  <si>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</si>
  <si>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</si>
  <si>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</si>
  <si>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</si>
  <si>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</si>
  <si>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</si>
  <si>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</si>
  <si>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</si>
  <si>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</si>
  <si>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</si>
  <si>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</si>
  <si>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</si>
  <si>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</si>
  <si>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</si>
  <si>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</si>
  <si>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</si>
  <si>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</si>
  <si>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</si>
  <si>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</si>
  <si>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</si>
  <si>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</si>
  <si>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</si>
  <si>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</si>
  <si>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</si>
  <si>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</si>
  <si>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</si>
  <si>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</si>
  <si>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</si>
  <si>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</si>
  <si>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</si>
  <si>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</si>
  <si>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</si>
  <si>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</si>
  <si>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</si>
  <si>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</si>
  <si>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</si>
  <si>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</si>
  <si>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</si>
  <si>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</si>
  <si>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</si>
  <si>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</si>
  <si>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</si>
  <si>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</si>
  <si>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</si>
  <si>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</si>
  <si>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</si>
  <si>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</si>
  <si>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</si>
  <si>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</si>
  <si>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</si>
  <si>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</si>
  <si>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</si>
  <si>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</si>
  <si>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</si>
  <si>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</si>
  <si>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</si>
  <si>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</si>
  <si>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</si>
  <si>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</si>
  <si>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</si>
  <si>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</si>
  <si>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</si>
  <si>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</si>
  <si>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</si>
  <si>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</si>
  <si>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</si>
  <si>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</si>
  <si>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</si>
  <si>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</si>
  <si>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</si>
  <si>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</si>
  <si>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</si>
  <si>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</si>
  <si>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</si>
  <si>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</si>
  <si>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</si>
  <si>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</si>
  <si>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</si>
  <si>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</si>
  <si>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</si>
  <si>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</si>
  <si>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</si>
  <si>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</si>
  <si>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</si>
  <si>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</si>
  <si>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</si>
  <si>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</si>
  <si>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</si>
  <si>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</si>
  <si>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</si>
  <si>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</si>
  <si>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</si>
  <si>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</si>
  <si>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</si>
  <si>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</si>
  <si>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</si>
  <si>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</si>
  <si>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</si>
  <si>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</si>
  <si>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</si>
  <si>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</si>
  <si>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</si>
  <si>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</si>
  <si>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</si>
  <si>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</si>
  <si>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</si>
  <si>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</si>
  <si>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</si>
  <si>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</si>
  <si>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</si>
  <si>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</si>
  <si>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</si>
  <si>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</si>
  <si>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</si>
  <si>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</si>
  <si>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</si>
  <si>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</si>
  <si>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</si>
  <si>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</si>
  <si>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</si>
  <si>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</si>
  <si>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</si>
  <si>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</si>
  <si>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</si>
  <si>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</si>
  <si>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</si>
  <si>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</si>
  <si>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</si>
  <si>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</si>
  <si>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</si>
  <si>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</si>
  <si>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</si>
  <si>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</si>
  <si>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</si>
  <si>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</si>
  <si>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</si>
  <si>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</si>
  <si>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</si>
  <si>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</si>
  <si>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</si>
  <si>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</si>
  <si>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</si>
  <si>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</si>
  <si>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</si>
  <si>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</si>
  <si>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</si>
  <si>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</si>
  <si>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</si>
  <si>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</si>
  <si>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</si>
  <si>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</si>
  <si>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</si>
  <si>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</si>
  <si>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</si>
  <si>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</si>
  <si>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</si>
  <si>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</si>
  <si>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</si>
  <si>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</si>
  <si>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</si>
  <si>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</si>
  <si>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</si>
  <si>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</si>
  <si>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</si>
  <si>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</si>
  <si>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</si>
  <si>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</si>
  <si>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</si>
  <si>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</si>
  <si>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</si>
  <si>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</si>
  <si>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</si>
  <si>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</si>
  <si>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</si>
  <si>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</si>
  <si>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</si>
  <si>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</si>
  <si>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</si>
  <si>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</si>
  <si>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</si>
  <si>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</si>
  <si>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</si>
  <si>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</si>
  <si>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</si>
  <si>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</si>
  <si>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</si>
  <si>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</si>
  <si>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</si>
  <si>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</si>
  <si>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</si>
  <si>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</si>
  <si>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</si>
  <si>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</si>
  <si>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</si>
  <si>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</si>
  <si>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</si>
  <si>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</si>
  <si>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</si>
  <si>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</si>
  <si>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</si>
  <si>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</si>
  <si>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</si>
  <si>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</si>
  <si>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</si>
  <si>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</si>
  <si>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</si>
  <si>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</si>
  <si>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</si>
  <si>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</si>
  <si>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</si>
  <si>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</si>
  <si>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</si>
  <si>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</si>
  <si>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</si>
  <si>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</si>
  <si>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</si>
  <si>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</si>
  <si>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</si>
  <si>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</si>
  <si>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</si>
  <si>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</si>
  <si>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</si>
  <si>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</si>
  <si>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</si>
  <si>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</si>
  <si>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</si>
  <si>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</si>
  <si>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</si>
  <si>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</si>
  <si>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</si>
  <si>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</si>
  <si>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</si>
  <si>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</si>
  <si>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</si>
  <si>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</si>
  <si>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</si>
  <si>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</si>
  <si>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</si>
  <si>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</si>
  <si>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</si>
  <si>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</si>
  <si>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</si>
  <si>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</si>
  <si>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</si>
  <si>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</si>
  <si>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</si>
  <si>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</si>
  <si>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</si>
  <si>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</si>
  <si>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</si>
  <si>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</si>
  <si>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</si>
  <si>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</si>
  <si>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</si>
  <si>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</si>
  <si>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</si>
  <si>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</si>
  <si>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</si>
  <si>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</si>
  <si>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</si>
  <si>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</si>
  <si>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</si>
  <si>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</si>
  <si>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</si>
  <si>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</si>
  <si>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</si>
  <si>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</si>
  <si>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</si>
  <si>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</si>
  <si>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</si>
  <si>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</si>
  <si>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</si>
  <si>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</si>
  <si>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</si>
  <si>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</si>
  <si>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</si>
  <si>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</si>
  <si>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</si>
  <si>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</si>
  <si>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</si>
  <si>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</si>
  <si>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</si>
  <si>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</si>
  <si>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</si>
  <si>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</si>
  <si>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</si>
  <si>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</si>
  <si>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</si>
  <si>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</si>
  <si>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</si>
  <si>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</si>
  <si>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</si>
  <si>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</si>
  <si>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</si>
  <si>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</si>
  <si>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</si>
  <si>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</si>
  <si>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</si>
  <si>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</si>
  <si>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</si>
  <si>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</si>
  <si>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</si>
  <si>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</si>
  <si>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</si>
  <si>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</si>
  <si>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</si>
  <si>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</si>
  <si>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</si>
  <si>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</si>
  <si>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</si>
  <si>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</si>
  <si>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</si>
  <si>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</si>
  <si>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</si>
  <si>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</si>
  <si>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</si>
  <si>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</si>
  <si>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</si>
  <si>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</si>
  <si>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</si>
  <si>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</si>
  <si>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</si>
  <si>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</si>
  <si>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</si>
  <si>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</si>
  <si>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</si>
  <si>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</si>
  <si>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</si>
  <si>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</si>
  <si>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</si>
  <si>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</si>
  <si>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</si>
  <si>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</si>
  <si>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</si>
  <si>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</si>
  <si>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</si>
  <si>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</si>
  <si>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</si>
  <si>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</si>
  <si>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</si>
  <si>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</si>
  <si>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</si>
  <si>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</si>
  <si>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</si>
  <si>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</si>
  <si>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</si>
  <si>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</si>
  <si>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</si>
  <si>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</si>
  <si>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</si>
  <si>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</si>
  <si>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</si>
  <si>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</si>
  <si>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</si>
  <si>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</si>
  <si>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</si>
  <si>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</si>
  <si>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</si>
  <si>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</si>
  <si>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</si>
  <si>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</si>
  <si>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</si>
  <si>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</si>
  <si>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</si>
  <si>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</si>
  <si>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</si>
  <si>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</si>
  <si>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</si>
  <si>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</si>
  <si>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</si>
  <si>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</si>
  <si>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</si>
  <si>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</si>
  <si>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</si>
  <si>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</si>
  <si>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</si>
  <si>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</si>
  <si>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</si>
  <si>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</si>
  <si>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</si>
  <si>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</si>
  <si>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</si>
  <si>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</si>
  <si>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</si>
  <si>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</si>
  <si>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</si>
  <si>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</si>
  <si>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</si>
  <si>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</si>
  <si>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</si>
  <si>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</si>
  <si>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</si>
  <si>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</si>
  <si>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</si>
  <si>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</si>
  <si>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</si>
  <si>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</si>
  <si>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</si>
  <si>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</si>
  <si>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</si>
  <si>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</si>
  <si>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</si>
  <si>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</si>
  <si>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</si>
  <si>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</si>
  <si>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</si>
  <si>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</si>
  <si>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</si>
  <si>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</si>
  <si>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</si>
  <si>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</si>
  <si>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原LC710</t>
    <phoneticPr fontId="3" type="noConversion"/>
  </si>
  <si>
    <t>原LC700</t>
    <phoneticPr fontId="3" type="noConversion"/>
  </si>
  <si>
    <t>原LC701</t>
    <phoneticPr fontId="3" type="noConversion"/>
  </si>
  <si>
    <t>原LC702</t>
    <phoneticPr fontId="3" type="noConversion"/>
  </si>
  <si>
    <t>原LC800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</si>
  <si>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</si>
  <si>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</si>
  <si>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</si>
  <si>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</si>
  <si>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</si>
  <si>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</si>
  <si>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</si>
  <si>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</si>
  <si>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</si>
  <si>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</si>
  <si>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</si>
  <si>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</si>
  <si>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2022.1.21</t>
    <phoneticPr fontId="3" type="noConversion"/>
  </si>
  <si>
    <t>2022.1.28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</si>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</sst>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1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33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177" fontId="52" fillId="13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horizontal="center"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64" fillId="0" borderId="0" xfId="0" applyNumberFormat="1" applyFont="1" applyAlignment="1">
      <alignment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30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6967592" createdVersion="7" refreshedVersion="7" minRefreshableVersion="3" recordCount="552" xr:uid="{00000000-000A-0000-FFFF-FFFF00000000}">
  <cacheSource type="worksheet">
    <worksheetSource ref="A1:AW1048576" sheet="URS確認"/>
  </cacheSource>
  <cacheFields count="49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48" maxValue="54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0" maxValue="0"/>
    </cacheField>
    <cacheField name="均_x000a_未完成" numFmtId="0">
      <sharedItems containsBlank="1" containsMixedTypes="1" containsNumber="1" containsInteger="1" minValue="0" maxValue="0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314815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5463" createdVersion="7" refreshedVersion="7" minRefreshableVersion="3" recordCount="627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777777" createdVersion="7" refreshedVersion="7" minRefreshableVersion="3" recordCount="552" xr:uid="{00000000-000A-0000-FFFF-FFFF03000000}">
  <cacheSource type="worksheet">
    <worksheetSource ref="A1:X1048576" sheet="URS確認"/>
  </cacheSource>
  <cacheFields count="24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  <m/>
    <s v="9-9"/>
    <s v=""/>
    <s v=""/>
    <s v=""/>
    <s v=""/>
    <s v=""/>
    <s v="L9110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10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3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  <m/>
    <s v="6-1"/>
    <s v=""/>
    <s v=""/>
    <s v=""/>
    <s v=""/>
    <s v=""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310"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068"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084"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  <m/>
    <s v="6-7"/>
    <s v=""/>
    <s v=""/>
    <s v=""/>
    <s v=""/>
    <s v=""/>
    <s v="L6086"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  <m/>
    <s v="6-1"/>
    <s v=""/>
    <s v=""/>
    <s v="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  <m/>
    <s v="4-3"/>
    <s v=""/>
    <s v=""/>
    <s v=""/>
    <s v=""/>
    <s v="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  <m/>
    <s v="8-1"/>
    <s v=""/>
    <s v=""/>
    <s v=""/>
    <s v=""/>
    <s v=""/>
    <s v="L8080"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  <m/>
    <s v="8-2"/>
    <s v=""/>
    <s v=""/>
    <s v=""/>
    <s v=""/>
    <s v=""/>
    <s v="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5"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  <m/>
    <s v="8-2"/>
    <s v=""/>
    <s v=""/>
    <s v=""/>
    <s v=""/>
    <s v=""/>
    <s v="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  <m/>
    <s v="8-2"/>
    <s v=""/>
    <s v=""/>
    <s v=""/>
    <s v=""/>
    <s v="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  <m/>
    <s v="5-1"/>
    <s v=""/>
    <s v=""/>
    <s v=""/>
    <s v=""/>
    <s v=""/>
    <s v=""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  <m/>
    <s v="5-1"/>
    <s v=""/>
    <s v=""/>
    <s v=""/>
    <s v=""/>
    <s v="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906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116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  <m/>
    <s v="6-7"/>
    <s v=""/>
    <s v=""/>
    <s v=""/>
    <s v=""/>
    <s v=""/>
    <s v="L6703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  <m/>
    <s v="6-7"/>
    <s v=""/>
    <s v=""/>
    <s v=""/>
    <s v=""/>
    <s v=""/>
    <s v="L6787"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  <m/>
    <s v="6-5"/>
    <s v=""/>
    <s v=""/>
    <s v=""/>
    <s v=""/>
    <s v=""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  <m/>
    <s v="5-3"/>
    <s v=""/>
    <s v=""/>
    <s v=""/>
    <s v=""/>
    <s v=""/>
    <s v="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  <m/>
    <s v="5-3"/>
    <s v=""/>
    <s v=""/>
    <s v=""/>
    <s v=""/>
    <s v=""/>
    <s v="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  <m/>
    <s v="5-3"/>
    <s v=""/>
    <s v=""/>
    <s v=""/>
    <s v=""/>
    <s v=""/>
    <s v="L5502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  <m/>
    <s v="5-3"/>
    <s v=""/>
    <s v=""/>
    <s v=""/>
    <s v=""/>
    <s v=""/>
    <s v="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  <m/>
    <s v="5-3"/>
    <s v=""/>
    <s v=""/>
    <s v=""/>
    <s v=""/>
    <s v=""/>
    <s v=""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0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3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  <m/>
    <s v="6-4"/>
    <s v=""/>
    <s v=""/>
    <s v=""/>
    <s v=""/>
    <s v=""/>
    <s v="L6943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4"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2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4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548"/>
    <n v="0"/>
    <n v="0"/>
    <n v="0"/>
    <n v="0"/>
    <n v="0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49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0" subtotal="count" baseField="0" baseItem="0"/>
    <dataField name="計數 - SIT進度2021" fld="4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9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4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2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2" subtotal="count" baseField="0" baseItem="0"/>
    <dataField name="實際" fld="13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2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A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B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29" dataDxfId="128" dataCellStyle="百分比">
  <autoFilter ref="A2:K74" xr:uid="{00000000-0009-0000-0100-000001000000}"/>
  <tableColumns count="11">
    <tableColumn id="1" xr3:uid="{00000000-0010-0000-0000-000001000000}" name="日期" dataDxfId="127"/>
    <tableColumn id="2" xr3:uid="{00000000-0010-0000-0000-000002000000}" name="週" dataDxfId="126">
      <calculatedColumnFormula>表格1[[#This Row],[日期]]</calculatedColumnFormula>
    </tableColumn>
    <tableColumn id="3" xr3:uid="{00000000-0010-0000-0000-000003000000}" name="合計數" dataDxfId="125">
      <calculatedColumnFormula>COUNTA(URS確認!E:E)-1</calculatedColumnFormula>
    </tableColumn>
    <tableColumn id="4" xr3:uid="{00000000-0010-0000-0000-000004000000}" name="累計預估" dataDxfId="124">
      <calculatedColumnFormula>COUNTIF(URS確認!M:M,"&lt;"&amp;A3+1)</calculatedColumnFormula>
    </tableColumn>
    <tableColumn id="5" xr3:uid="{00000000-0010-0000-0000-000005000000}" name="累計完成" dataDxfId="123">
      <calculatedColumnFormula>D7-D2</calculatedColumnFormula>
    </tableColumn>
    <tableColumn id="12" xr3:uid="{00000000-0010-0000-0000-00000C000000}" name="本周預計" dataDxfId="122">
      <calculatedColumnFormula>D7-D2</calculatedColumnFormula>
    </tableColumn>
    <tableColumn id="13" xr3:uid="{00000000-0010-0000-0000-00000D000000}" name="本周完成" dataDxfId="121">
      <calculatedColumnFormula>E7-E2</calculatedColumnFormula>
    </tableColumn>
    <tableColumn id="14" xr3:uid="{00000000-0010-0000-0000-00000E000000}" name="進度" dataDxfId="12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1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18" dataCellStyle="百分比">
      <calculatedColumnFormula>表格1[[#This Row],[累計完成]]/表格1[[#This Row],[合計數]]</calculatedColumnFormula>
    </tableColumn>
    <tableColumn id="10" xr3:uid="{00000000-0010-0000-0000-00000A000000}" name="欄1" dataDxfId="11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56" totalsRowShown="0" headerRowDxfId="116" dataDxfId="115">
  <autoFilter ref="A1:AW556" xr:uid="{00000000-0009-0000-0100-000002000000}">
    <filterColumn colId="4">
      <filters>
        <filter val="L3001"/>
        <filter val="L3002"/>
        <filter val="L3003"/>
        <filter val="L3004"/>
        <filter val="L3007"/>
        <filter val="L3100"/>
        <filter val="L3110"/>
        <filter val="L3200"/>
        <filter val="L3210"/>
        <filter val="L3220"/>
        <filter val="L3230"/>
        <filter val="L3701"/>
        <filter val="L3711"/>
        <filter val="L3712"/>
        <filter val="L3731"/>
        <filter val="L3901"/>
        <filter val="L3911"/>
        <filter val="L3913"/>
        <filter val="L3916"/>
        <filter val="L3917"/>
        <filter val="L3921"/>
        <filter val="L3923"/>
        <filter val="L3925"/>
        <filter val="L3926"/>
        <filter val="L3943"/>
      </filters>
    </filterColumn>
  </autoFilter>
  <tableColumns count="49">
    <tableColumn id="2" xr3:uid="{00000000-0010-0000-0100-000002000000}" name="URS程式預計完成時間" dataDxfId="114"/>
    <tableColumn id="1" xr3:uid="{00000000-0010-0000-0100-000001000000}" name="狀態" dataDxfId="113"/>
    <tableColumn id="22" xr3:uid="{00000000-0010-0000-0100-000016000000}" name="業務大類" dataDxfId="112"/>
    <tableColumn id="26" xr3:uid="{00000000-0010-0000-0100-00001A000000}" name="流程" dataDxfId="111"/>
    <tableColumn id="5" xr3:uid="{00000000-0010-0000-0100-000005000000}" name="功能代號" dataDxfId="110"/>
    <tableColumn id="9" xr3:uid="{00000000-0010-0000-0100-000009000000}" name="功能名稱/說明" dataDxfId="109"/>
    <tableColumn id="38" xr3:uid="{00000000-0010-0000-0100-000026000000}" name="刪除整併說明" dataDxfId="108"/>
    <tableColumn id="4" xr3:uid="{00000000-0010-0000-0100-000004000000}" name="SA" dataDxfId="107"/>
    <tableColumn id="11" xr3:uid="{00000000-0010-0000-0100-00000B000000}" name="展示協助" dataDxfId="106"/>
    <tableColumn id="37" xr3:uid="{00000000-0010-0000-0100-000025000000}" name="URS版本" dataDxfId="105"/>
    <tableColumn id="51" xr3:uid="{00000000-0010-0000-0100-000033000000}" name="FT預計完成" dataDxfId="104"/>
    <tableColumn id="52" xr3:uid="{00000000-0010-0000-0100-000034000000}" name="FT實際完成" dataDxfId="103"/>
    <tableColumn id="3" xr3:uid="{00000000-0010-0000-0100-000003000000}" name="預計展示" dataDxfId="102"/>
    <tableColumn id="18" xr3:uid="{00000000-0010-0000-0100-000012000000}" name="實際展示" dataDxfId="101"/>
    <tableColumn id="24" xr3:uid="{00000000-0010-0000-0100-000018000000}" name="URS完成" dataDxfId="10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99"/>
    <tableColumn id="21" xr3:uid="{00000000-0010-0000-0100-000015000000}" name="User" dataDxfId="98"/>
    <tableColumn id="7" xr3:uid="{00000000-0010-0000-0100-000007000000}" name="User2" dataDxfId="97"/>
    <tableColumn id="8" xr3:uid="{00000000-0010-0000-0100-000008000000}" name="段式" dataDxfId="96"/>
    <tableColumn id="10" xr3:uid="{00000000-0010-0000-0100-00000A000000}" name="經辦等級" dataDxfId="95"/>
    <tableColumn id="12" xr3:uid="{00000000-0010-0000-0100-00000C000000}" name="授權" dataDxfId="94"/>
    <tableColumn id="13" xr3:uid="{00000000-0010-0000-0100-00000D000000}" name="訂正" dataDxfId="93"/>
    <tableColumn id="14" xr3:uid="{00000000-0010-0000-0100-00000E000000}" name="修正" dataDxfId="92"/>
    <tableColumn id="16" xr3:uid="{00000000-0010-0000-0100-000010000000}" name="帳務" dataDxfId="91"/>
    <tableColumn id="17" xr3:uid="{00000000-0010-0000-0100-000011000000}" name="額度" dataDxfId="90"/>
    <tableColumn id="15" xr3:uid="{00000000-0010-0000-0100-00000F000000}" name="執行單位" dataDxfId="89">
      <calculatedColumnFormula>VLOOKUP(功能_33[[#This Row],[User]],SKL放款!A:G,7,FALSE)</calculatedColumnFormula>
    </tableColumn>
    <tableColumn id="32" xr3:uid="{00000000-0010-0000-0100-000020000000}" name="程式完成" dataDxfId="88"/>
    <tableColumn id="34" xr3:uid="{00000000-0010-0000-0100-000022000000}" name="URS交二審" dataDxfId="87"/>
    <tableColumn id="31" xr3:uid="{00000000-0010-0000-0100-00001F000000}" name="二審預排" dataDxfId="86"/>
    <tableColumn id="36" xr3:uid="{00000000-0010-0000-0100-000024000000}" name="二審實際" dataDxfId="85"/>
    <tableColumn id="27" xr3:uid="{00000000-0010-0000-0100-00001B000000}" name="正式_x000a_交付審查" dataDxfId="84"/>
    <tableColumn id="29" xr3:uid="{00000000-0010-0000-0100-00001D000000}" name="IT審核人" dataDxfId="83"/>
    <tableColumn id="6" xr3:uid="{00000000-0010-0000-0100-000006000000}" name="收到IT_x000a_審查意見" dataDxfId="82"/>
    <tableColumn id="35" xr3:uid="{00000000-0010-0000-0100-000023000000}" name="回覆IT_x000a_審查意見" dataDxfId="81"/>
    <tableColumn id="33" xr3:uid="{00000000-0010-0000-0100-000021000000}" name="User審閱人" dataDxfId="80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79"/>
    <tableColumn id="39" xr3:uid="{00000000-0010-0000-0100-000027000000}" name="回覆User審查意見" dataDxfId="78"/>
    <tableColumn id="25" xr3:uid="{00000000-0010-0000-0100-000019000000}" name="送出簽核檢核日" dataDxfId="77"/>
    <tableColumn id="19" xr3:uid="{00000000-0010-0000-0100-000013000000}" name="覆測日" dataDxfId="76"/>
    <tableColumn id="23" xr3:uid="{00000000-0010-0000-0100-000017000000}" name="AS400入口" dataDxfId="75">
      <calculatedColumnFormula>VLOOKUP(功能_33[[#This Row],[功能代號]],'[4]20211001'!$A:$J,8,FALSE)</calculatedColumnFormula>
    </tableColumn>
    <tableColumn id="41" xr3:uid="{00000000-0010-0000-0100-000029000000}" name="AS400名稱" dataDxfId="74">
      <calculatedColumnFormula>VLOOKUP(功能_33[[#This Row],[功能代號]],'[4]20211001'!$A:$J,9,FALSE)</calculatedColumnFormula>
    </tableColumn>
    <tableColumn id="49" xr3:uid="{00000000-0010-0000-0100-000031000000}" name="欄1" dataDxfId="73"/>
    <tableColumn id="28" xr3:uid="{00000000-0010-0000-0100-00001C000000}" name="己交付" dataDxfId="72">
      <calculatedColumnFormula>IF(COUNTA(AE2)=1,LEFT(D2,3),"")</calculatedColumnFormula>
    </tableColumn>
    <tableColumn id="43" xr3:uid="{00000000-0010-0000-0100-00002B000000}" name="己完成" dataDxfId="71">
      <calculatedColumnFormula>IF(AND(COUNTA(N2)=1,COUNTA(O2)=1,COUNTA(AA2)=1,COUNTA(AD2)=1,COUNTA(AE2)=0),LEFT(D2,3),"")</calculatedColumnFormula>
    </tableColumn>
    <tableColumn id="47" xr3:uid="{00000000-0010-0000-0100-00002F000000}" name="待二審" dataDxfId="70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69">
      <calculatedColumnFormula>IF(AND(COUNTA(O2)=0,COUNTA(AA2)=1),LEFT(D2,3),"")</calculatedColumnFormula>
    </tableColumn>
    <tableColumn id="45" xr3:uid="{00000000-0010-0000-0100-00002D000000}" name="程式_x000a_未完成" dataDxfId="68">
      <calculatedColumnFormula>IF(AND(COUNTA(O2)=1,COUNTA(AA2)=0),LEFT(D2,3),"")</calculatedColumnFormula>
    </tableColumn>
    <tableColumn id="46" xr3:uid="{00000000-0010-0000-0100-00002E000000}" name="均_x000a_未完成" dataDxfId="67">
      <calculatedColumnFormula>IF(AND(COUNTA(O2)=0,COUNTA(AA2)=0),LEFT(D2,3),"")</calculatedColumnFormula>
    </tableColumn>
    <tableColumn id="50" xr3:uid="{00000000-0010-0000-0100-000032000000}" name="SIT進度2021" dataDxfId="66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43" bestFit="1" customWidth="1"/>
    <col min="2" max="8" width="11.3984375" style="142" bestFit="1" customWidth="1"/>
    <col min="9" max="9" width="11.3984375" style="143" bestFit="1" customWidth="1"/>
    <col min="10" max="10" width="8.59765625" style="143" bestFit="1" customWidth="1"/>
    <col min="11" max="11" width="11.3984375" style="143" bestFit="1" customWidth="1"/>
    <col min="12" max="12" width="12.59765625" style="143" bestFit="1" customWidth="1"/>
    <col min="13" max="14" width="11.3984375" style="143" bestFit="1" customWidth="1"/>
    <col min="15" max="15" width="12.59765625" style="143" bestFit="1" customWidth="1"/>
    <col min="16" max="22" width="11.3984375" style="143" bestFit="1" customWidth="1"/>
    <col min="23" max="26" width="8.69921875" style="143" customWidth="1"/>
    <col min="27" max="16384" width="8.69921875" style="143"/>
  </cols>
  <sheetData>
    <row r="1" spans="1:22" s="145" customFormat="1" x14ac:dyDescent="0.3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x14ac:dyDescent="0.3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x14ac:dyDescent="0.3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 x14ac:dyDescent="0.3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 x14ac:dyDescent="0.3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 x14ac:dyDescent="0.3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 x14ac:dyDescent="0.3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x14ac:dyDescent="0.3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 x14ac:dyDescent="0.3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x14ac:dyDescent="0.3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 x14ac:dyDescent="0.3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 x14ac:dyDescent="0.3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 x14ac:dyDescent="0.3">
      <c r="N13" s="144" t="s">
        <v>26</v>
      </c>
      <c r="O13" s="144" t="s">
        <v>27</v>
      </c>
      <c r="Q13" s="144" t="s">
        <v>27</v>
      </c>
    </row>
    <row r="14" spans="1:22" x14ac:dyDescent="0.3">
      <c r="K14" s="142"/>
      <c r="Q14" s="144" t="s">
        <v>20</v>
      </c>
    </row>
    <row r="15" spans="1:22" x14ac:dyDescent="0.3">
      <c r="Q15" s="144" t="s">
        <v>22</v>
      </c>
    </row>
    <row r="16" spans="1:22" x14ac:dyDescent="0.3">
      <c r="Q16" s="144" t="s">
        <v>28</v>
      </c>
    </row>
    <row r="17" spans="17:17" x14ac:dyDescent="0.3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zoomScaleNormal="100" workbookViewId="0">
      <pane ySplit="1" topLeftCell="A2" activePane="bottomLeft" state="frozen"/>
      <selection pane="bottomLeft" activeCell="L21" sqref="L21"/>
    </sheetView>
  </sheetViews>
  <sheetFormatPr defaultColWidth="9" defaultRowHeight="15" x14ac:dyDescent="0.35"/>
  <cols>
    <col min="1" max="1" width="4.8984375" style="274" customWidth="1"/>
    <col min="2" max="2" width="5.09765625" style="299" customWidth="1"/>
    <col min="3" max="3" width="5.19921875" style="299" customWidth="1"/>
    <col min="4" max="4" width="7" style="377" customWidth="1"/>
    <col min="5" max="5" width="5.19921875" style="299" customWidth="1"/>
    <col min="6" max="6" width="4.8984375" style="383" customWidth="1"/>
    <col min="7" max="7" width="4.8984375" style="299" customWidth="1"/>
    <col min="8" max="8" width="4.8984375" style="377" customWidth="1"/>
    <col min="9" max="9" width="5.3984375" style="299" customWidth="1"/>
    <col min="10" max="10" width="4.8984375" style="377" customWidth="1"/>
    <col min="11" max="11" width="5.19921875" style="300" bestFit="1" customWidth="1"/>
    <col min="12" max="12" width="4.8984375" style="377" bestFit="1" customWidth="1"/>
    <col min="13" max="13" width="11.69921875" style="281" bestFit="1" customWidth="1"/>
    <col min="14" max="14" width="10" style="281" customWidth="1"/>
    <col min="15" max="15" width="9.8984375" style="281" customWidth="1"/>
    <col min="16" max="16" width="8.09765625" style="281" hidden="1" customWidth="1"/>
    <col min="17" max="17" width="10.3984375" style="301" customWidth="1"/>
    <col min="18" max="18" width="5.69921875" style="302" hidden="1" customWidth="1"/>
    <col min="19" max="19" width="5" style="303" customWidth="1"/>
    <col min="20" max="20" width="9.69921875" style="303" bestFit="1" customWidth="1"/>
    <col min="21" max="21" width="6.3984375" style="303" hidden="1" customWidth="1"/>
    <col min="22" max="22" width="10.19921875" style="303" customWidth="1"/>
    <col min="23" max="23" width="9.69921875" style="294" customWidth="1"/>
    <col min="24" max="24" width="8.69921875" style="278" customWidth="1"/>
    <col min="25" max="28" width="9" style="278" customWidth="1"/>
    <col min="29" max="16384" width="9" style="278"/>
  </cols>
  <sheetData>
    <row r="1" spans="1:31" x14ac:dyDescent="0.35">
      <c r="A1" s="203" t="s">
        <v>29</v>
      </c>
    </row>
    <row r="2" spans="1:31" s="205" customFormat="1" ht="38.25" customHeight="1" x14ac:dyDescent="0.3">
      <c r="A2" s="304" t="s">
        <v>30</v>
      </c>
      <c r="B2" s="304" t="s">
        <v>2468</v>
      </c>
      <c r="C2" s="304" t="s">
        <v>31</v>
      </c>
      <c r="D2" s="304"/>
      <c r="E2" s="304" t="s">
        <v>2427</v>
      </c>
      <c r="F2" s="384"/>
      <c r="G2" s="304" t="s">
        <v>2456</v>
      </c>
      <c r="H2" s="304"/>
      <c r="I2" s="305" t="s">
        <v>32</v>
      </c>
      <c r="J2" s="304"/>
      <c r="K2" s="304" t="s">
        <v>2457</v>
      </c>
      <c r="L2" s="304"/>
      <c r="M2" s="304" t="s">
        <v>2892</v>
      </c>
      <c r="N2" s="242" t="s">
        <v>33</v>
      </c>
      <c r="O2" s="242" t="s">
        <v>34</v>
      </c>
      <c r="P2" s="242" t="s">
        <v>35</v>
      </c>
      <c r="Q2" s="242" t="s">
        <v>36</v>
      </c>
      <c r="R2" s="242" t="s">
        <v>37</v>
      </c>
      <c r="S2" s="242" t="s">
        <v>38</v>
      </c>
      <c r="T2" s="242" t="s">
        <v>39</v>
      </c>
      <c r="U2" s="242" t="s">
        <v>40</v>
      </c>
      <c r="V2" s="242" t="s">
        <v>41</v>
      </c>
      <c r="W2" s="306" t="s">
        <v>42</v>
      </c>
      <c r="X2" s="242" t="s">
        <v>43</v>
      </c>
      <c r="Y2" s="204"/>
    </row>
    <row r="3" spans="1:31" s="47" customFormat="1" ht="25.5" customHeight="1" x14ac:dyDescent="0.3">
      <c r="A3" s="228" t="s">
        <v>44</v>
      </c>
      <c r="B3" s="307">
        <v>15</v>
      </c>
      <c r="C3" s="307" t="e">
        <f>GETPIVOTDATA("計數 - 實際展示",統計tmp!$A$3,"業務大類","1.顧客管理作業")</f>
        <v>#REF!</v>
      </c>
      <c r="D3" s="378" t="e">
        <f>C3/B3</f>
        <v>#REF!</v>
      </c>
      <c r="E3" s="369">
        <v>16</v>
      </c>
      <c r="F3" s="381">
        <f>E3/B3</f>
        <v>1.0666666666666667</v>
      </c>
      <c r="G3" s="375" t="e">
        <f>GETPIVOTDATA("計數 - 程式完成",統計tmp!$A$3,"業務大類","1.顧客管理作業")</f>
        <v>#REF!</v>
      </c>
      <c r="H3" s="381" t="e">
        <f>G3/B3</f>
        <v>#REF!</v>
      </c>
      <c r="I3" s="307" t="e">
        <f>GETPIVOTDATA("計數 - 二審實際",統計tmp!$A$3,"業務大類","1.顧客管理作業")</f>
        <v>#REF!</v>
      </c>
      <c r="J3" s="378" t="e">
        <f>I3/B3</f>
        <v>#REF!</v>
      </c>
      <c r="K3" s="307">
        <f>B3</f>
        <v>15</v>
      </c>
      <c r="L3" s="378">
        <f>K3/B3</f>
        <v>1</v>
      </c>
      <c r="M3" s="386" t="s">
        <v>45</v>
      </c>
      <c r="N3" s="228">
        <v>44481</v>
      </c>
      <c r="O3" s="228">
        <v>44483</v>
      </c>
      <c r="P3" s="307">
        <v>14</v>
      </c>
      <c r="Q3" s="228">
        <f>N3+3</f>
        <v>44484</v>
      </c>
      <c r="R3" s="230">
        <v>14</v>
      </c>
      <c r="S3" s="229">
        <f>R3/P3</f>
        <v>1</v>
      </c>
      <c r="T3" s="229"/>
      <c r="U3" s="231"/>
      <c r="V3" s="228"/>
      <c r="W3" s="591">
        <v>44484</v>
      </c>
      <c r="X3" s="232"/>
      <c r="Y3" s="233"/>
    </row>
    <row r="4" spans="1:31" s="207" customFormat="1" ht="14.5" customHeight="1" x14ac:dyDescent="0.3">
      <c r="A4" s="235" t="s">
        <v>46</v>
      </c>
      <c r="B4" s="308">
        <v>15</v>
      </c>
      <c r="C4" s="308"/>
      <c r="D4" s="379"/>
      <c r="E4" s="308"/>
      <c r="F4" s="385"/>
      <c r="G4" s="308"/>
      <c r="H4" s="379"/>
      <c r="I4" s="308"/>
      <c r="J4" s="379"/>
      <c r="K4" s="308">
        <v>15</v>
      </c>
      <c r="L4" s="379"/>
      <c r="M4" s="236">
        <v>44470</v>
      </c>
      <c r="N4" s="236">
        <v>44481</v>
      </c>
      <c r="O4" s="236">
        <v>44509</v>
      </c>
      <c r="P4" s="308">
        <v>14</v>
      </c>
      <c r="Q4" s="236">
        <v>44512</v>
      </c>
      <c r="R4" s="237">
        <v>14</v>
      </c>
      <c r="S4" s="238">
        <f>R4/P4</f>
        <v>1</v>
      </c>
      <c r="T4" s="273">
        <v>44509</v>
      </c>
      <c r="U4" s="237">
        <v>7</v>
      </c>
      <c r="V4" s="236">
        <v>44515</v>
      </c>
      <c r="W4" s="239"/>
      <c r="X4" s="239"/>
      <c r="Y4" s="206"/>
    </row>
    <row r="5" spans="1:31" s="207" customFormat="1" ht="15" customHeight="1" x14ac:dyDescent="0.3">
      <c r="A5" s="235" t="s">
        <v>47</v>
      </c>
      <c r="B5" s="308">
        <v>15</v>
      </c>
      <c r="C5" s="308"/>
      <c r="D5" s="379"/>
      <c r="E5" s="308"/>
      <c r="F5" s="385"/>
      <c r="G5" s="308"/>
      <c r="H5" s="379"/>
      <c r="I5" s="308"/>
      <c r="J5" s="379"/>
      <c r="K5" s="308">
        <v>15</v>
      </c>
      <c r="L5" s="379"/>
      <c r="M5" s="236">
        <v>44470</v>
      </c>
      <c r="N5" s="236">
        <v>44491</v>
      </c>
      <c r="O5" s="236">
        <v>44495</v>
      </c>
      <c r="P5" s="308">
        <v>2</v>
      </c>
      <c r="Q5" s="245">
        <v>44495</v>
      </c>
      <c r="R5" s="237">
        <v>2</v>
      </c>
      <c r="S5" s="238">
        <f>R5/P5</f>
        <v>1</v>
      </c>
      <c r="T5" s="238"/>
      <c r="U5" s="238"/>
      <c r="V5" s="236">
        <v>44497</v>
      </c>
      <c r="W5" s="239"/>
      <c r="X5" s="239"/>
      <c r="Y5" s="206"/>
    </row>
    <row r="6" spans="1:31" s="47" customFormat="1" ht="15" customHeight="1" x14ac:dyDescent="0.35">
      <c r="A6" s="228" t="s">
        <v>48</v>
      </c>
      <c r="B6" s="307">
        <v>79</v>
      </c>
      <c r="C6" s="307">
        <v>78</v>
      </c>
      <c r="D6" s="378">
        <f>C6/B6</f>
        <v>0.98734177215189878</v>
      </c>
      <c r="E6" s="369">
        <v>76</v>
      </c>
      <c r="F6" s="381">
        <f t="shared" ref="F6:F15" si="0">E6/B6</f>
        <v>0.96202531645569622</v>
      </c>
      <c r="G6" s="375">
        <v>76</v>
      </c>
      <c r="H6" s="381">
        <f t="shared" ref="H6:H15" si="1">G6/B6</f>
        <v>0.96202531645569622</v>
      </c>
      <c r="I6" s="307">
        <v>76</v>
      </c>
      <c r="J6" s="378">
        <f>I6/B6</f>
        <v>0.96202531645569622</v>
      </c>
      <c r="K6" s="307">
        <v>79</v>
      </c>
      <c r="L6" s="378">
        <f t="shared" ref="L6:L12" si="2">K6/B6</f>
        <v>1</v>
      </c>
      <c r="M6" s="567" t="s">
        <v>2949</v>
      </c>
      <c r="N6" s="228"/>
      <c r="O6" s="228"/>
      <c r="P6" s="307"/>
      <c r="Q6" s="228"/>
      <c r="R6" s="230"/>
      <c r="S6" s="229"/>
      <c r="T6" s="229"/>
      <c r="U6" s="229"/>
      <c r="V6" s="228"/>
      <c r="W6" s="232">
        <v>44550</v>
      </c>
      <c r="X6" s="232"/>
      <c r="Y6" s="233"/>
      <c r="AB6" s="545"/>
      <c r="AC6" s="546"/>
      <c r="AD6" s="547" t="s">
        <v>2725</v>
      </c>
      <c r="AE6" s="548"/>
    </row>
    <row r="7" spans="1:31" s="47" customFormat="1" ht="14.5" x14ac:dyDescent="0.35">
      <c r="A7" s="228" t="s">
        <v>49</v>
      </c>
      <c r="B7" s="307">
        <v>38</v>
      </c>
      <c r="C7" s="307">
        <v>38</v>
      </c>
      <c r="D7" s="378">
        <f>C7/B7</f>
        <v>1</v>
      </c>
      <c r="E7" s="369">
        <v>38</v>
      </c>
      <c r="F7" s="381">
        <f t="shared" si="0"/>
        <v>1</v>
      </c>
      <c r="G7" s="375">
        <v>38</v>
      </c>
      <c r="H7" s="381">
        <f t="shared" si="1"/>
        <v>1</v>
      </c>
      <c r="I7" s="307">
        <v>38</v>
      </c>
      <c r="J7" s="378">
        <f>I7/B7</f>
        <v>1</v>
      </c>
      <c r="K7" s="307">
        <v>38</v>
      </c>
      <c r="L7" s="378">
        <f t="shared" si="2"/>
        <v>1</v>
      </c>
      <c r="M7" s="567" t="s">
        <v>2891</v>
      </c>
      <c r="N7" s="228"/>
      <c r="O7" s="228">
        <v>44545</v>
      </c>
      <c r="P7" s="307"/>
      <c r="Q7" s="228"/>
      <c r="R7" s="230"/>
      <c r="S7" s="229"/>
      <c r="T7" s="229"/>
      <c r="U7" s="229"/>
      <c r="V7" s="228"/>
      <c r="W7" s="591">
        <v>44515</v>
      </c>
      <c r="X7" s="232"/>
      <c r="Y7" s="233"/>
      <c r="AB7" s="549" t="s">
        <v>189</v>
      </c>
      <c r="AC7" s="546"/>
      <c r="AD7" s="362" t="e">
        <f>COUNTIF(URS確認!#REF!,'統計表2.1'!AB7)</f>
        <v>#REF!</v>
      </c>
      <c r="AE7" s="377" t="s">
        <v>2724</v>
      </c>
    </row>
    <row r="8" spans="1:31" s="47" customFormat="1" ht="15" customHeight="1" x14ac:dyDescent="0.35">
      <c r="A8" s="228" t="s">
        <v>50</v>
      </c>
      <c r="B8" s="307">
        <v>75</v>
      </c>
      <c r="C8" s="307">
        <v>75</v>
      </c>
      <c r="D8" s="378">
        <f>C8/B8</f>
        <v>1</v>
      </c>
      <c r="E8" s="369">
        <v>70</v>
      </c>
      <c r="F8" s="381">
        <f t="shared" si="0"/>
        <v>0.93333333333333335</v>
      </c>
      <c r="G8" s="375">
        <v>69</v>
      </c>
      <c r="H8" s="381">
        <f t="shared" si="1"/>
        <v>0.92</v>
      </c>
      <c r="I8" s="307">
        <v>75</v>
      </c>
      <c r="J8" s="378">
        <f>I8/B8</f>
        <v>1</v>
      </c>
      <c r="K8" s="307">
        <v>75</v>
      </c>
      <c r="L8" s="378">
        <f t="shared" si="2"/>
        <v>1</v>
      </c>
      <c r="M8" s="566" t="s">
        <v>2888</v>
      </c>
      <c r="N8" s="228"/>
      <c r="O8" s="228"/>
      <c r="P8" s="307"/>
      <c r="Q8" s="228"/>
      <c r="R8" s="230"/>
      <c r="S8" s="229"/>
      <c r="T8" s="229"/>
      <c r="U8" s="229"/>
      <c r="V8" s="228"/>
      <c r="W8" s="246">
        <v>44515</v>
      </c>
      <c r="X8" s="232"/>
      <c r="Y8" s="233"/>
      <c r="AB8" s="549" t="s">
        <v>180</v>
      </c>
      <c r="AC8" s="546"/>
      <c r="AD8" s="362" t="e">
        <f>COUNTIF(URS確認!#REF!,'統計表2.1'!AB8)</f>
        <v>#REF!</v>
      </c>
      <c r="AE8" s="377" t="s">
        <v>2723</v>
      </c>
    </row>
    <row r="9" spans="1:31" s="47" customFormat="1" ht="14.5" x14ac:dyDescent="0.35">
      <c r="A9" s="228" t="s">
        <v>51</v>
      </c>
      <c r="B9" s="307">
        <v>87</v>
      </c>
      <c r="C9" s="307">
        <v>87</v>
      </c>
      <c r="D9" s="378">
        <f>C9/B9</f>
        <v>1</v>
      </c>
      <c r="E9" s="369">
        <v>72</v>
      </c>
      <c r="F9" s="381">
        <f t="shared" si="0"/>
        <v>0.82758620689655171</v>
      </c>
      <c r="G9" s="375">
        <v>84</v>
      </c>
      <c r="H9" s="381">
        <f t="shared" si="1"/>
        <v>0.96551724137931039</v>
      </c>
      <c r="I9" s="307">
        <v>73</v>
      </c>
      <c r="J9" s="378">
        <f>I9/B9</f>
        <v>0.83908045977011492</v>
      </c>
      <c r="K9" s="307">
        <v>87</v>
      </c>
      <c r="L9" s="378">
        <f t="shared" si="2"/>
        <v>1</v>
      </c>
      <c r="M9" s="567" t="s">
        <v>2889</v>
      </c>
      <c r="N9" s="228"/>
      <c r="O9" s="228"/>
      <c r="P9" s="307"/>
      <c r="Q9" s="228"/>
      <c r="R9" s="230"/>
      <c r="S9" s="229"/>
      <c r="T9" s="229"/>
      <c r="U9" s="229"/>
      <c r="V9" s="228"/>
      <c r="W9" s="232">
        <v>44550</v>
      </c>
      <c r="X9" s="232"/>
      <c r="Y9" s="233"/>
      <c r="AB9" s="549" t="s">
        <v>300</v>
      </c>
      <c r="AC9" s="546"/>
      <c r="AD9" s="362" t="e">
        <f>COUNTIF(URS確認!#REF!,'統計表2.1'!AB9)</f>
        <v>#REF!</v>
      </c>
      <c r="AE9" s="377" t="s">
        <v>2722</v>
      </c>
    </row>
    <row r="10" spans="1:31" s="47" customFormat="1" ht="15" customHeight="1" x14ac:dyDescent="0.35">
      <c r="A10" s="228" t="s">
        <v>52</v>
      </c>
      <c r="B10" s="307">
        <v>95</v>
      </c>
      <c r="C10" s="307">
        <v>90</v>
      </c>
      <c r="D10" s="378">
        <f>C10/B10</f>
        <v>0.94736842105263153</v>
      </c>
      <c r="E10" s="369">
        <v>86</v>
      </c>
      <c r="F10" s="381">
        <f t="shared" si="0"/>
        <v>0.90526315789473688</v>
      </c>
      <c r="G10" s="375">
        <v>87</v>
      </c>
      <c r="H10" s="381">
        <f t="shared" si="1"/>
        <v>0.91578947368421049</v>
      </c>
      <c r="I10" s="307">
        <v>77</v>
      </c>
      <c r="J10" s="378">
        <f>I10/B10</f>
        <v>0.81052631578947365</v>
      </c>
      <c r="K10" s="307">
        <v>95</v>
      </c>
      <c r="L10" s="378">
        <f t="shared" si="2"/>
        <v>1</v>
      </c>
      <c r="M10" s="566" t="s">
        <v>2890</v>
      </c>
      <c r="N10" s="228"/>
      <c r="O10" s="228"/>
      <c r="P10" s="307"/>
      <c r="Q10" s="228"/>
      <c r="R10" s="230"/>
      <c r="S10" s="229"/>
      <c r="T10" s="229"/>
      <c r="U10" s="229"/>
      <c r="V10" s="228"/>
      <c r="W10" s="232">
        <v>44550</v>
      </c>
      <c r="X10" s="232"/>
      <c r="Y10" s="233"/>
      <c r="AB10" s="549" t="s">
        <v>466</v>
      </c>
      <c r="AC10" s="546"/>
      <c r="AD10" s="362" t="e">
        <f>COUNTIF(URS確認!#REF!,'統計表2.1'!AB10)</f>
        <v>#REF!</v>
      </c>
      <c r="AE10" s="377" t="s">
        <v>2575</v>
      </c>
    </row>
    <row r="11" spans="1:31" s="47" customFormat="1" ht="15" customHeight="1" x14ac:dyDescent="0.35">
      <c r="A11" s="228" t="s">
        <v>53</v>
      </c>
      <c r="B11" s="307">
        <v>10</v>
      </c>
      <c r="C11" s="307">
        <v>10</v>
      </c>
      <c r="D11" s="378">
        <v>0</v>
      </c>
      <c r="E11" s="369">
        <v>9</v>
      </c>
      <c r="F11" s="381">
        <f t="shared" si="0"/>
        <v>0.9</v>
      </c>
      <c r="G11" s="375">
        <v>9</v>
      </c>
      <c r="H11" s="381">
        <f t="shared" si="1"/>
        <v>0.9</v>
      </c>
      <c r="I11" s="307">
        <v>1</v>
      </c>
      <c r="J11" s="378">
        <f t="shared" ref="J11:J14" si="3">I11/B11</f>
        <v>0.1</v>
      </c>
      <c r="K11" s="307">
        <v>10</v>
      </c>
      <c r="L11" s="378">
        <f t="shared" si="2"/>
        <v>1</v>
      </c>
      <c r="M11" s="228">
        <v>44544</v>
      </c>
      <c r="N11" s="228"/>
      <c r="O11" s="228"/>
      <c r="P11" s="307"/>
      <c r="Q11" s="228"/>
      <c r="R11" s="230"/>
      <c r="S11" s="229"/>
      <c r="T11" s="229"/>
      <c r="U11" s="229"/>
      <c r="V11" s="228"/>
      <c r="W11" s="232">
        <v>44550</v>
      </c>
      <c r="X11" s="232"/>
      <c r="Y11" s="233"/>
      <c r="AB11" s="549" t="s">
        <v>122</v>
      </c>
      <c r="AC11" s="546"/>
      <c r="AD11" s="362" t="e">
        <f>COUNTIF(URS確認!#REF!,'統計表2.1'!AB11)</f>
        <v>#REF!</v>
      </c>
      <c r="AE11" s="377" t="s">
        <v>2721</v>
      </c>
    </row>
    <row r="12" spans="1:31" s="47" customFormat="1" ht="15" customHeight="1" x14ac:dyDescent="0.35">
      <c r="A12" s="228" t="s">
        <v>54</v>
      </c>
      <c r="B12" s="307">
        <v>136</v>
      </c>
      <c r="C12" s="307">
        <v>135</v>
      </c>
      <c r="D12" s="378">
        <f>C12/B12</f>
        <v>0.99264705882352944</v>
      </c>
      <c r="E12" s="369">
        <v>93</v>
      </c>
      <c r="F12" s="381">
        <f t="shared" si="0"/>
        <v>0.68382352941176472</v>
      </c>
      <c r="G12" s="375">
        <v>98</v>
      </c>
      <c r="H12" s="381">
        <f t="shared" si="1"/>
        <v>0.72058823529411764</v>
      </c>
      <c r="I12" s="307">
        <v>130</v>
      </c>
      <c r="J12" s="378">
        <f t="shared" si="3"/>
        <v>0.95588235294117652</v>
      </c>
      <c r="K12" s="307">
        <v>136</v>
      </c>
      <c r="L12" s="378">
        <f t="shared" si="2"/>
        <v>1</v>
      </c>
      <c r="M12" s="228">
        <v>44544</v>
      </c>
      <c r="N12" s="228"/>
      <c r="O12" s="228"/>
      <c r="P12" s="307"/>
      <c r="Q12" s="228"/>
      <c r="R12" s="230"/>
      <c r="S12" s="229"/>
      <c r="T12" s="229"/>
      <c r="U12" s="229"/>
      <c r="V12" s="228"/>
      <c r="W12" s="232">
        <v>44550</v>
      </c>
      <c r="X12" s="232"/>
      <c r="Y12" s="233"/>
      <c r="AB12" s="549" t="s">
        <v>123</v>
      </c>
      <c r="AC12" s="546"/>
      <c r="AD12" s="362" t="e">
        <f>COUNTIF(URS確認!#REF!,'統計表2.1'!AB12)</f>
        <v>#REF!</v>
      </c>
      <c r="AE12" s="377" t="s">
        <v>2720</v>
      </c>
    </row>
    <row r="13" spans="1:31" s="47" customFormat="1" ht="15" customHeight="1" x14ac:dyDescent="0.35">
      <c r="A13" s="228" t="s">
        <v>55</v>
      </c>
      <c r="B13" s="307">
        <v>1</v>
      </c>
      <c r="C13" s="307">
        <v>1</v>
      </c>
      <c r="D13" s="378">
        <f t="shared" ref="D13:D14" si="4">C13/B13</f>
        <v>1</v>
      </c>
      <c r="E13" s="369">
        <v>1</v>
      </c>
      <c r="F13" s="381">
        <f t="shared" si="0"/>
        <v>1</v>
      </c>
      <c r="G13" s="375">
        <v>1</v>
      </c>
      <c r="H13" s="381">
        <f t="shared" si="1"/>
        <v>1</v>
      </c>
      <c r="I13" s="307">
        <v>1</v>
      </c>
      <c r="J13" s="378">
        <f t="shared" si="3"/>
        <v>1</v>
      </c>
      <c r="K13" s="307">
        <v>1</v>
      </c>
      <c r="L13" s="378">
        <v>1</v>
      </c>
      <c r="M13" s="228">
        <v>44544</v>
      </c>
      <c r="N13" s="228"/>
      <c r="O13" s="228"/>
      <c r="P13" s="307"/>
      <c r="Q13" s="228"/>
      <c r="R13" s="230"/>
      <c r="S13" s="229"/>
      <c r="T13" s="229"/>
      <c r="U13" s="229"/>
      <c r="V13" s="228"/>
      <c r="W13" s="232">
        <v>44550</v>
      </c>
      <c r="X13" s="232"/>
      <c r="Y13" s="233"/>
      <c r="AB13" s="545"/>
      <c r="AC13" s="546"/>
      <c r="AD13" s="550" t="e">
        <f>SUM(AD7:AD12)</f>
        <v>#REF!</v>
      </c>
      <c r="AE13" s="548"/>
    </row>
    <row r="14" spans="1:31" s="47" customFormat="1" ht="15" customHeight="1" x14ac:dyDescent="0.3">
      <c r="A14" s="228" t="s">
        <v>2423</v>
      </c>
      <c r="B14" s="307" t="e">
        <f>GETPIVOTDATA("計數 - 預計展示",統計tmp!$A$3,"業務大類","LC共同作業")</f>
        <v>#REF!</v>
      </c>
      <c r="C14" s="307">
        <v>12</v>
      </c>
      <c r="D14" s="378" t="e">
        <f t="shared" si="4"/>
        <v>#REF!</v>
      </c>
      <c r="E14" s="369">
        <v>12</v>
      </c>
      <c r="F14" s="381" t="e">
        <f t="shared" si="0"/>
        <v>#REF!</v>
      </c>
      <c r="G14" s="375">
        <v>12</v>
      </c>
      <c r="H14" s="381" t="e">
        <f t="shared" si="1"/>
        <v>#REF!</v>
      </c>
      <c r="I14" s="307">
        <v>12</v>
      </c>
      <c r="J14" s="378" t="e">
        <f t="shared" si="3"/>
        <v>#REF!</v>
      </c>
      <c r="K14" s="307">
        <v>12</v>
      </c>
      <c r="L14" s="378" t="e">
        <f t="shared" ref="L14" si="5">K14/B14</f>
        <v>#REF!</v>
      </c>
      <c r="M14" s="228">
        <v>44544</v>
      </c>
      <c r="N14" s="228"/>
      <c r="O14" s="228"/>
      <c r="P14" s="307"/>
      <c r="Q14" s="228"/>
      <c r="R14" s="230"/>
      <c r="S14" s="229"/>
      <c r="T14" s="229"/>
      <c r="U14" s="229"/>
      <c r="V14" s="228"/>
      <c r="W14" s="232">
        <v>44550</v>
      </c>
      <c r="X14" s="232"/>
      <c r="Y14" s="233"/>
    </row>
    <row r="15" spans="1:31" s="234" customFormat="1" ht="13.5" customHeight="1" x14ac:dyDescent="0.3">
      <c r="A15" s="240" t="s">
        <v>56</v>
      </c>
      <c r="B15" s="309" t="e">
        <f>SUM(B3,B6:B14)</f>
        <v>#REF!</v>
      </c>
      <c r="C15" s="309" t="e">
        <f>SUM(C3,C6:C14)</f>
        <v>#REF!</v>
      </c>
      <c r="D15" s="380" t="e">
        <f>C15/B15</f>
        <v>#REF!</v>
      </c>
      <c r="E15" s="309">
        <f>E3+SUM(E6:E14)</f>
        <v>473</v>
      </c>
      <c r="F15" s="382" t="e">
        <f t="shared" si="0"/>
        <v>#REF!</v>
      </c>
      <c r="G15" s="376" t="e">
        <f>G3+SUM(G6:G14)</f>
        <v>#REF!</v>
      </c>
      <c r="H15" s="382" t="e">
        <f t="shared" si="1"/>
        <v>#REF!</v>
      </c>
      <c r="I15" s="309" t="e">
        <f>SUM(I3,I6:I14)</f>
        <v>#REF!</v>
      </c>
      <c r="J15" s="380" t="e">
        <f>I15/B15</f>
        <v>#REF!</v>
      </c>
      <c r="K15" s="309">
        <f>SUM(K3,K6:K14)</f>
        <v>548</v>
      </c>
      <c r="L15" s="380" t="e">
        <f>K15/B15</f>
        <v>#REF!</v>
      </c>
      <c r="M15" s="309"/>
      <c r="N15" s="309"/>
      <c r="O15" s="309"/>
      <c r="P15" s="309">
        <f>SUM(P3,P6:P13)</f>
        <v>14</v>
      </c>
      <c r="Q15" s="309"/>
      <c r="R15" s="309">
        <f>SUM(R3,R6:R13)</f>
        <v>14</v>
      </c>
      <c r="S15" s="241"/>
      <c r="T15" s="241"/>
      <c r="U15" s="241"/>
      <c r="V15" s="241"/>
      <c r="W15" s="241"/>
      <c r="X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 x14ac:dyDescent="0.35"/>
  <cols>
    <col min="1" max="1" width="12.69921875" style="274" bestFit="1" customWidth="1"/>
    <col min="2" max="2" width="6.69921875" style="299" customWidth="1"/>
    <col min="3" max="3" width="9.19921875" style="300" customWidth="1"/>
    <col min="4" max="4" width="10.8984375" style="281" customWidth="1"/>
    <col min="5" max="5" width="11.19921875" style="277" customWidth="1"/>
    <col min="6" max="6" width="10.69921875" style="281" customWidth="1"/>
    <col min="7" max="7" width="11.69921875" style="281" customWidth="1"/>
    <col min="8" max="8" width="8.3984375" style="281" customWidth="1"/>
    <col min="9" max="9" width="15.3984375" style="281" customWidth="1"/>
    <col min="10" max="10" width="17.8984375" style="301" customWidth="1"/>
    <col min="11" max="11" width="6.19921875" style="310" customWidth="1"/>
    <col min="12" max="12" width="22.3984375" style="294" bestFit="1" customWidth="1"/>
    <col min="13" max="16" width="9" style="278" customWidth="1"/>
    <col min="17" max="16384" width="9" style="278"/>
  </cols>
  <sheetData>
    <row r="1" spans="1:12" ht="15" customHeight="1" x14ac:dyDescent="0.35">
      <c r="A1" s="544" t="s">
        <v>2719</v>
      </c>
      <c r="E1" s="281"/>
      <c r="I1" s="301"/>
      <c r="J1" s="302"/>
      <c r="K1" s="224"/>
      <c r="L1" s="278"/>
    </row>
    <row r="2" spans="1:12" s="47" customFormat="1" ht="15" customHeight="1" x14ac:dyDescent="0.3">
      <c r="A2" s="201" t="s">
        <v>57</v>
      </c>
      <c r="B2" s="311" t="s">
        <v>58</v>
      </c>
      <c r="C2" s="312" t="s">
        <v>59</v>
      </c>
      <c r="D2" s="202" t="s">
        <v>60</v>
      </c>
      <c r="E2" s="202" t="s">
        <v>61</v>
      </c>
      <c r="F2" s="202" t="s">
        <v>62</v>
      </c>
      <c r="G2" s="202" t="s">
        <v>63</v>
      </c>
      <c r="H2" s="202" t="s">
        <v>64</v>
      </c>
      <c r="I2" s="313" t="s">
        <v>65</v>
      </c>
      <c r="J2" s="314" t="s">
        <v>66</v>
      </c>
      <c r="K2" s="225" t="s">
        <v>67</v>
      </c>
    </row>
    <row r="3" spans="1:12" ht="15" hidden="1" customHeight="1" x14ac:dyDescent="0.35">
      <c r="A3" s="274">
        <v>44396</v>
      </c>
      <c r="B3" s="299">
        <f>表格1[[#This Row],[日期]]</f>
        <v>44396</v>
      </c>
      <c r="C3" s="300">
        <v>366</v>
      </c>
      <c r="D3" s="281">
        <f>COUNTIF(URS確認!M:M,"&lt;"&amp;A3+1)</f>
        <v>7</v>
      </c>
      <c r="E3" s="281" t="e">
        <f t="shared" ref="E3:E6" si="0">D7-D2</f>
        <v>#VALUE!</v>
      </c>
      <c r="F3" s="281" t="e">
        <f t="shared" ref="F3:G6" si="1">D7-D2</f>
        <v>#VALUE!</v>
      </c>
      <c r="G3" s="281" t="e">
        <f t="shared" si="1"/>
        <v>#VALUE!</v>
      </c>
      <c r="H3" s="281" t="e">
        <f>IF(表格1[[#This Row],[本周完成]]&gt;表格1[[#This Row],[本周預計]],"提前",IF(表格1[[#This Row],[本周完成]]&lt;表格1[[#This Row],[本周預計]],"延遲","如期"))</f>
        <v>#VALUE!</v>
      </c>
      <c r="I3" s="301">
        <f>表格1[[#This Row],[累計預估]]/表格1[[#This Row],[合計數]]</f>
        <v>1.912568306010929E-2</v>
      </c>
      <c r="J3" s="301" t="e">
        <f>表格1[[#This Row],[累計完成]]/表格1[[#This Row],[合計數]]</f>
        <v>#VALUE!</v>
      </c>
      <c r="K3" s="315"/>
      <c r="L3" s="278"/>
    </row>
    <row r="4" spans="1:12" ht="15" hidden="1" customHeight="1" x14ac:dyDescent="0.35">
      <c r="A4" s="274">
        <v>44397</v>
      </c>
      <c r="B4" s="299">
        <f>表格1[[#This Row],[日期]]</f>
        <v>44397</v>
      </c>
      <c r="C4" s="300">
        <v>366</v>
      </c>
      <c r="D4" s="281">
        <f>COUNTIF(URS確認!M:M,"&lt;"&amp;A4+1)</f>
        <v>21</v>
      </c>
      <c r="E4" s="281">
        <f t="shared" si="0"/>
        <v>36</v>
      </c>
      <c r="F4" s="281">
        <f t="shared" si="1"/>
        <v>36</v>
      </c>
      <c r="G4" s="281" t="e">
        <f t="shared" si="1"/>
        <v>#VALUE!</v>
      </c>
      <c r="H4" s="281" t="e">
        <f>IF(表格1[[#This Row],[本周完成]]&gt;表格1[[#This Row],[本周預計]],"提前",IF(表格1[[#This Row],[本周完成]]&lt;表格1[[#This Row],[本周預計]],"延遲","如期"))</f>
        <v>#VALUE!</v>
      </c>
      <c r="I4" s="301">
        <f>表格1[[#This Row],[累計預估]]/表格1[[#This Row],[合計數]]</f>
        <v>5.737704918032787E-2</v>
      </c>
      <c r="J4" s="301">
        <f>表格1[[#This Row],[累計完成]]/表格1[[#This Row],[合計數]]</f>
        <v>9.8360655737704916E-2</v>
      </c>
      <c r="K4" s="315"/>
      <c r="L4" s="278"/>
    </row>
    <row r="5" spans="1:12" ht="15" hidden="1" customHeight="1" x14ac:dyDescent="0.35">
      <c r="A5" s="274">
        <v>44398</v>
      </c>
      <c r="B5" s="299">
        <f>表格1[[#This Row],[日期]]</f>
        <v>44398</v>
      </c>
      <c r="C5" s="300">
        <v>366</v>
      </c>
      <c r="D5" s="281">
        <f>COUNTIF(URS確認!M:M,"&lt;"&amp;A5+1)</f>
        <v>25</v>
      </c>
      <c r="E5" s="281">
        <f t="shared" si="0"/>
        <v>34</v>
      </c>
      <c r="F5" s="281">
        <f t="shared" si="1"/>
        <v>34</v>
      </c>
      <c r="G5" s="281">
        <f t="shared" si="1"/>
        <v>14</v>
      </c>
      <c r="H5" s="281" t="str">
        <f>IF(表格1[[#This Row],[本周完成]]&gt;表格1[[#This Row],[本周預計]],"提前",IF(表格1[[#This Row],[本周完成]]&lt;表格1[[#This Row],[本周預計]],"延遲","如期"))</f>
        <v>延遲</v>
      </c>
      <c r="I5" s="301">
        <f>表格1[[#This Row],[累計預估]]/表格1[[#This Row],[合計數]]</f>
        <v>6.8306010928961755E-2</v>
      </c>
      <c r="J5" s="301">
        <f>表格1[[#This Row],[累計完成]]/表格1[[#This Row],[合計數]]</f>
        <v>9.2896174863387984E-2</v>
      </c>
      <c r="K5" s="315"/>
      <c r="L5" s="278"/>
    </row>
    <row r="6" spans="1:12" ht="15" hidden="1" customHeight="1" x14ac:dyDescent="0.35">
      <c r="A6" s="274">
        <v>44399</v>
      </c>
      <c r="B6" s="299">
        <f>表格1[[#This Row],[日期]]</f>
        <v>44399</v>
      </c>
      <c r="C6" s="300">
        <v>366</v>
      </c>
      <c r="D6" s="281">
        <f>COUNTIF(URS確認!M:M,"&lt;"&amp;A6+1)</f>
        <v>34</v>
      </c>
      <c r="E6" s="281">
        <f t="shared" si="0"/>
        <v>30</v>
      </c>
      <c r="F6" s="281">
        <f t="shared" si="1"/>
        <v>30</v>
      </c>
      <c r="G6" s="281">
        <f t="shared" si="1"/>
        <v>21</v>
      </c>
      <c r="H6" s="281" t="str">
        <f>IF(表格1[[#This Row],[本周完成]]&gt;表格1[[#This Row],[本周預計]],"提前",IF(表格1[[#This Row],[本周完成]]&lt;表格1[[#This Row],[本周預計]],"延遲","如期"))</f>
        <v>延遲</v>
      </c>
      <c r="I6" s="301">
        <f>表格1[[#This Row],[累計預估]]/表格1[[#This Row],[合計數]]</f>
        <v>9.2896174863387984E-2</v>
      </c>
      <c r="J6" s="301">
        <f>表格1[[#This Row],[累計完成]]/表格1[[#This Row],[合計數]]</f>
        <v>8.1967213114754092E-2</v>
      </c>
      <c r="K6" s="315"/>
      <c r="L6" s="278"/>
    </row>
    <row r="7" spans="1:12" ht="15" customHeight="1" x14ac:dyDescent="0.35">
      <c r="A7" s="48">
        <v>44400</v>
      </c>
      <c r="B7" s="316">
        <f>表格1[[#This Row],[日期]]</f>
        <v>44400</v>
      </c>
      <c r="C7" s="317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8">
        <f>表格1[[#This Row],[累計預估]]/表格1[[#This Row],[合計數]]</f>
        <v>9.2896174863387984E-2</v>
      </c>
      <c r="J7" s="318">
        <f>表格1[[#This Row],[累計完成]]/表格1[[#This Row],[合計數]]</f>
        <v>9.8360655737704916E-2</v>
      </c>
      <c r="K7" s="315"/>
      <c r="L7" s="278"/>
    </row>
    <row r="8" spans="1:12" ht="15" hidden="1" customHeight="1" x14ac:dyDescent="0.35">
      <c r="A8" s="274">
        <v>44403</v>
      </c>
      <c r="B8" s="299">
        <f>表格1[[#This Row],[日期]]</f>
        <v>44403</v>
      </c>
      <c r="C8" s="300">
        <v>366</v>
      </c>
      <c r="D8" s="281">
        <f>COUNTIF(URS確認!M:M,"&lt;"&amp;A8+1)</f>
        <v>43</v>
      </c>
      <c r="E8" s="83">
        <f>COUNTIF(URS確認!N:N,"&lt;"&amp;A8+1)</f>
        <v>45</v>
      </c>
      <c r="F8" s="281">
        <f t="shared" ref="F8:G11" si="2">D12-D7</f>
        <v>21</v>
      </c>
      <c r="G8" s="281">
        <f t="shared" si="2"/>
        <v>19</v>
      </c>
      <c r="H8" s="281" t="str">
        <f>IF(表格1[[#This Row],[本周完成]]&gt;表格1[[#This Row],[本周預計]],"提前",IF(表格1[[#This Row],[本周完成]]&lt;表格1[[#This Row],[本周預計]],"延遲","如期"))</f>
        <v>延遲</v>
      </c>
      <c r="I8" s="318">
        <f>表格1[[#This Row],[累計預估]]/表格1[[#This Row],[合計數]]</f>
        <v>0.11748633879781421</v>
      </c>
      <c r="J8" s="318">
        <f>表格1[[#This Row],[累計完成]]/表格1[[#This Row],[合計數]]</f>
        <v>0.12295081967213115</v>
      </c>
      <c r="K8" s="315"/>
      <c r="L8" s="278"/>
    </row>
    <row r="9" spans="1:12" ht="15" hidden="1" customHeight="1" x14ac:dyDescent="0.35">
      <c r="A9" s="274">
        <v>44404</v>
      </c>
      <c r="B9" s="299">
        <f>表格1[[#This Row],[日期]]</f>
        <v>44404</v>
      </c>
      <c r="C9" s="300">
        <v>366</v>
      </c>
      <c r="D9" s="281">
        <f>COUNTIF(URS確認!M:M,"&lt;"&amp;A9+1)</f>
        <v>55</v>
      </c>
      <c r="E9" s="83">
        <f>COUNTIF(URS確認!N:N,"&lt;"&amp;A9+1)</f>
        <v>50</v>
      </c>
      <c r="F9" s="281">
        <f t="shared" si="2"/>
        <v>12</v>
      </c>
      <c r="G9" s="281">
        <f t="shared" si="2"/>
        <v>10</v>
      </c>
      <c r="H9" s="281" t="str">
        <f>IF(表格1[[#This Row],[本周完成]]&gt;表格1[[#This Row],[本周預計]],"提前",IF(表格1[[#This Row],[本周完成]]&lt;表格1[[#This Row],[本周預計]],"延遲","如期"))</f>
        <v>延遲</v>
      </c>
      <c r="I9" s="318">
        <f>表格1[[#This Row],[累計預估]]/表格1[[#This Row],[合計數]]</f>
        <v>0.15027322404371585</v>
      </c>
      <c r="J9" s="318">
        <f>表格1[[#This Row],[累計完成]]/表格1[[#This Row],[合計數]]</f>
        <v>0.13661202185792351</v>
      </c>
      <c r="K9" s="315"/>
      <c r="L9" s="278"/>
    </row>
    <row r="10" spans="1:12" ht="15" hidden="1" customHeight="1" x14ac:dyDescent="0.35">
      <c r="A10" s="274">
        <v>44405</v>
      </c>
      <c r="B10" s="299">
        <f>表格1[[#This Row],[日期]]</f>
        <v>44405</v>
      </c>
      <c r="C10" s="300">
        <v>368</v>
      </c>
      <c r="D10" s="281">
        <f>COUNTIF(URS確認!M:M,"&lt;"&amp;A10+1)</f>
        <v>55</v>
      </c>
      <c r="E10" s="83">
        <f>COUNTIF(URS確認!N:N,"&lt;"&amp;A10+1)</f>
        <v>55</v>
      </c>
      <c r="F10" s="281">
        <f t="shared" si="2"/>
        <v>0</v>
      </c>
      <c r="G10" s="281">
        <f t="shared" si="2"/>
        <v>5</v>
      </c>
      <c r="H10" s="281" t="str">
        <f>IF(表格1[[#This Row],[本周完成]]&gt;表格1[[#This Row],[本周預計]],"提前",IF(表格1[[#This Row],[本周完成]]&lt;表格1[[#This Row],[本周預計]],"延遲","如期"))</f>
        <v>提前</v>
      </c>
      <c r="I10" s="318">
        <f>表格1[[#This Row],[累計預估]]/表格1[[#This Row],[合計數]]</f>
        <v>0.14945652173913043</v>
      </c>
      <c r="J10" s="318">
        <f>表格1[[#This Row],[累計完成]]/表格1[[#This Row],[合計數]]</f>
        <v>0.14945652173913043</v>
      </c>
      <c r="K10" s="315"/>
      <c r="L10" s="278"/>
    </row>
    <row r="11" spans="1:12" ht="14.5" hidden="1" customHeight="1" x14ac:dyDescent="0.35">
      <c r="A11" s="274">
        <v>44406</v>
      </c>
      <c r="B11" s="299">
        <f>表格1[[#This Row],[日期]]</f>
        <v>44406</v>
      </c>
      <c r="C11" s="300">
        <v>368</v>
      </c>
      <c r="D11" s="281">
        <f>COUNTIF(URS確認!M:M,"&lt;"&amp;A11+1)</f>
        <v>55</v>
      </c>
      <c r="E11" s="83">
        <f>COUNTIF(URS確認!N:N,"&lt;"&amp;A11+1)</f>
        <v>55</v>
      </c>
      <c r="F11" s="281">
        <f t="shared" si="2"/>
        <v>0</v>
      </c>
      <c r="G11" s="281">
        <f t="shared" si="2"/>
        <v>0</v>
      </c>
      <c r="H11" s="281" t="str">
        <f>IF(表格1[[#This Row],[本周完成]]&gt;表格1[[#This Row],[本周預計]],"提前",IF(表格1[[#This Row],[本周完成]]&lt;表格1[[#This Row],[本周預計]],"延遲","如期"))</f>
        <v>如期</v>
      </c>
      <c r="I11" s="318">
        <f>表格1[[#This Row],[累計預估]]/表格1[[#This Row],[合計數]]</f>
        <v>0.14945652173913043</v>
      </c>
      <c r="J11" s="318">
        <f>表格1[[#This Row],[累計完成]]/表格1[[#This Row],[合計數]]</f>
        <v>0.14945652173913043</v>
      </c>
      <c r="K11" s="315"/>
      <c r="L11" s="278"/>
    </row>
    <row r="12" spans="1:12" ht="15" customHeight="1" x14ac:dyDescent="0.35">
      <c r="A12" s="48">
        <v>44407</v>
      </c>
      <c r="B12" s="316">
        <f>表格1[[#This Row],[日期]]</f>
        <v>44407</v>
      </c>
      <c r="C12" s="317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8">
        <f>表格1[[#This Row],[累計預估]]/表格1[[#This Row],[合計數]]</f>
        <v>0.14945652173913043</v>
      </c>
      <c r="J12" s="318">
        <f>表格1[[#This Row],[累計完成]]/表格1[[#This Row],[合計數]]</f>
        <v>0.14945652173913043</v>
      </c>
      <c r="K12" s="315"/>
      <c r="L12" s="278"/>
    </row>
    <row r="13" spans="1:12" ht="15" hidden="1" customHeight="1" x14ac:dyDescent="0.35">
      <c r="A13" s="274">
        <v>44410</v>
      </c>
      <c r="B13" s="299">
        <f>表格1[[#This Row],[日期]]</f>
        <v>44410</v>
      </c>
      <c r="C13" s="300">
        <v>368</v>
      </c>
      <c r="D13" s="281">
        <f>COUNTIF(URS確認!M:M,"&lt;"&amp;A13+1)</f>
        <v>55</v>
      </c>
      <c r="E13" s="83">
        <f>COUNTIF(URS確認!N:N,"&lt;"&amp;A13+1)</f>
        <v>55</v>
      </c>
      <c r="F13" s="281">
        <f t="shared" ref="F13:G16" si="3">D17-D12</f>
        <v>0</v>
      </c>
      <c r="G13" s="281">
        <f t="shared" si="3"/>
        <v>0</v>
      </c>
      <c r="H13" s="281" t="str">
        <f>IF(表格1[[#This Row],[本周完成]]&gt;表格1[[#This Row],[本周預計]],"提前",IF(表格1[[#This Row],[本周完成]]&lt;表格1[[#This Row],[本周預計]],"延遲","如期"))</f>
        <v>如期</v>
      </c>
      <c r="I13" s="318">
        <f>表格1[[#This Row],[累計預估]]/表格1[[#This Row],[合計數]]</f>
        <v>0.14945652173913043</v>
      </c>
      <c r="J13" s="318">
        <f>表格1[[#This Row],[累計完成]]/表格1[[#This Row],[合計數]]</f>
        <v>0.14945652173913043</v>
      </c>
      <c r="K13" s="315"/>
      <c r="L13" s="278"/>
    </row>
    <row r="14" spans="1:12" ht="15" hidden="1" customHeight="1" x14ac:dyDescent="0.35">
      <c r="A14" s="274">
        <v>44411</v>
      </c>
      <c r="B14" s="299">
        <f>表格1[[#This Row],[日期]]</f>
        <v>44411</v>
      </c>
      <c r="C14" s="300">
        <v>368</v>
      </c>
      <c r="D14" s="281">
        <f>COUNTIF(URS確認!M:M,"&lt;"&amp;A14+1)</f>
        <v>55</v>
      </c>
      <c r="E14" s="83">
        <f>COUNTIF(URS確認!N:N,"&lt;"&amp;A14+1)</f>
        <v>55</v>
      </c>
      <c r="F14" s="281">
        <f t="shared" si="3"/>
        <v>0</v>
      </c>
      <c r="G14" s="281">
        <f t="shared" si="3"/>
        <v>0</v>
      </c>
      <c r="H14" s="281" t="str">
        <f>IF(表格1[[#This Row],[本周完成]]&gt;表格1[[#This Row],[本周預計]],"提前",IF(表格1[[#This Row],[本周完成]]&lt;表格1[[#This Row],[本周預計]],"延遲","如期"))</f>
        <v>如期</v>
      </c>
      <c r="I14" s="318">
        <f>表格1[[#This Row],[累計預估]]/表格1[[#This Row],[合計數]]</f>
        <v>0.14945652173913043</v>
      </c>
      <c r="J14" s="318">
        <f>表格1[[#This Row],[累計完成]]/表格1[[#This Row],[合計數]]</f>
        <v>0.14945652173913043</v>
      </c>
      <c r="K14" s="315"/>
      <c r="L14" s="278"/>
    </row>
    <row r="15" spans="1:12" ht="15" hidden="1" customHeight="1" x14ac:dyDescent="0.35">
      <c r="A15" s="274">
        <v>44412</v>
      </c>
      <c r="B15" s="299">
        <f>表格1[[#This Row],[日期]]</f>
        <v>44412</v>
      </c>
      <c r="C15" s="300">
        <v>368</v>
      </c>
      <c r="D15" s="281">
        <f>COUNTIF(URS確認!M:M,"&lt;"&amp;A15+1)</f>
        <v>55</v>
      </c>
      <c r="E15" s="83">
        <f>COUNTIF(URS確認!N:N,"&lt;"&amp;A15+1)</f>
        <v>55</v>
      </c>
      <c r="F15" s="281">
        <f t="shared" si="3"/>
        <v>0</v>
      </c>
      <c r="G15" s="281">
        <f t="shared" si="3"/>
        <v>0</v>
      </c>
      <c r="H15" s="281" t="str">
        <f>IF(表格1[[#This Row],[本周完成]]&gt;表格1[[#This Row],[本周預計]],"提前",IF(表格1[[#This Row],[本周完成]]&lt;表格1[[#This Row],[本周預計]],"延遲","如期"))</f>
        <v>如期</v>
      </c>
      <c r="I15" s="318">
        <f>表格1[[#This Row],[累計預估]]/表格1[[#This Row],[合計數]]</f>
        <v>0.14945652173913043</v>
      </c>
      <c r="J15" s="318">
        <f>表格1[[#This Row],[累計完成]]/表格1[[#This Row],[合計數]]</f>
        <v>0.14945652173913043</v>
      </c>
      <c r="K15" s="315"/>
      <c r="L15" s="278"/>
    </row>
    <row r="16" spans="1:12" ht="15" hidden="1" customHeight="1" x14ac:dyDescent="0.35">
      <c r="A16" s="274">
        <v>44413</v>
      </c>
      <c r="B16" s="299">
        <f>表格1[[#This Row],[日期]]</f>
        <v>44413</v>
      </c>
      <c r="C16" s="300">
        <v>368</v>
      </c>
      <c r="D16" s="281">
        <f>COUNTIF(URS確認!M:M,"&lt;"&amp;A16+1)</f>
        <v>55</v>
      </c>
      <c r="E16" s="83">
        <f>COUNTIF(URS確認!N:N,"&lt;"&amp;A16+1)</f>
        <v>55</v>
      </c>
      <c r="F16" s="281">
        <f t="shared" si="3"/>
        <v>0</v>
      </c>
      <c r="G16" s="281">
        <f t="shared" si="3"/>
        <v>0</v>
      </c>
      <c r="H16" s="281" t="str">
        <f>IF(表格1[[#This Row],[本周完成]]&gt;表格1[[#This Row],[本周預計]],"提前",IF(表格1[[#This Row],[本周完成]]&lt;表格1[[#This Row],[本周預計]],"延遲","如期"))</f>
        <v>如期</v>
      </c>
      <c r="I16" s="318">
        <f>表格1[[#This Row],[累計預估]]/表格1[[#This Row],[合計數]]</f>
        <v>0.14945652173913043</v>
      </c>
      <c r="J16" s="318">
        <f>表格1[[#This Row],[累計完成]]/表格1[[#This Row],[合計數]]</f>
        <v>0.14945652173913043</v>
      </c>
      <c r="K16" s="315"/>
      <c r="L16" s="278"/>
    </row>
    <row r="17" spans="1:12" ht="15" hidden="1" customHeight="1" x14ac:dyDescent="0.35">
      <c r="A17" s="48">
        <v>44414</v>
      </c>
      <c r="B17" s="316">
        <f>表格1[[#This Row],[日期]]</f>
        <v>44414</v>
      </c>
      <c r="C17" s="317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8">
        <f>表格1[[#This Row],[累計預估]]/表格1[[#This Row],[合計數]]</f>
        <v>0.14945652173913043</v>
      </c>
      <c r="J17" s="318">
        <f>表格1[[#This Row],[累計完成]]/表格1[[#This Row],[合計數]]</f>
        <v>0.14945652173913043</v>
      </c>
      <c r="K17" s="315"/>
      <c r="L17" s="278"/>
    </row>
    <row r="18" spans="1:12" ht="15" hidden="1" customHeight="1" x14ac:dyDescent="0.35">
      <c r="A18" s="274">
        <v>44417</v>
      </c>
      <c r="B18" s="299">
        <f>表格1[[#This Row],[日期]]</f>
        <v>44417</v>
      </c>
      <c r="C18" s="300">
        <v>368</v>
      </c>
      <c r="D18" s="281">
        <f>COUNTIF(URS確認!M:M,"&lt;"&amp;A18+1)</f>
        <v>55</v>
      </c>
      <c r="E18" s="83">
        <f>COUNTIF(URS確認!N:N,"&lt;"&amp;A18+1)</f>
        <v>55</v>
      </c>
      <c r="F18" s="281">
        <f t="shared" ref="F18:G21" si="4">D22-D17</f>
        <v>0</v>
      </c>
      <c r="G18" s="281">
        <f t="shared" si="4"/>
        <v>0</v>
      </c>
      <c r="H18" s="281" t="str">
        <f>IF(表格1[[#This Row],[本周完成]]&gt;表格1[[#This Row],[本周預計]],"提前",IF(表格1[[#This Row],[本周完成]]&lt;表格1[[#This Row],[本周預計]],"延遲","如期"))</f>
        <v>如期</v>
      </c>
      <c r="I18" s="318">
        <f>表格1[[#This Row],[累計預估]]/表格1[[#This Row],[合計數]]</f>
        <v>0.14945652173913043</v>
      </c>
      <c r="J18" s="318">
        <f>表格1[[#This Row],[累計完成]]/表格1[[#This Row],[合計數]]</f>
        <v>0.14945652173913043</v>
      </c>
      <c r="K18" s="315"/>
      <c r="L18" s="278"/>
    </row>
    <row r="19" spans="1:12" ht="15" hidden="1" customHeight="1" x14ac:dyDescent="0.35">
      <c r="A19" s="274">
        <v>44418</v>
      </c>
      <c r="B19" s="299">
        <f>表格1[[#This Row],[日期]]</f>
        <v>44418</v>
      </c>
      <c r="C19" s="300">
        <v>368</v>
      </c>
      <c r="D19" s="281">
        <f>COUNTIF(URS確認!M:M,"&lt;"&amp;A19+1)</f>
        <v>55</v>
      </c>
      <c r="E19" s="83">
        <f>COUNTIF(URS確認!N:N,"&lt;"&amp;A19+1)</f>
        <v>55</v>
      </c>
      <c r="F19" s="281">
        <f t="shared" si="4"/>
        <v>0</v>
      </c>
      <c r="G19" s="281">
        <f t="shared" si="4"/>
        <v>0</v>
      </c>
      <c r="H19" s="281" t="str">
        <f>IF(表格1[[#This Row],[本周完成]]&gt;表格1[[#This Row],[本周預計]],"提前",IF(表格1[[#This Row],[本周完成]]&lt;表格1[[#This Row],[本周預計]],"延遲","如期"))</f>
        <v>如期</v>
      </c>
      <c r="I19" s="318">
        <f>表格1[[#This Row],[累計預估]]/表格1[[#This Row],[合計數]]</f>
        <v>0.14945652173913043</v>
      </c>
      <c r="J19" s="318">
        <f>表格1[[#This Row],[累計完成]]/表格1[[#This Row],[合計數]]</f>
        <v>0.14945652173913043</v>
      </c>
      <c r="K19" s="315"/>
      <c r="L19" s="278"/>
    </row>
    <row r="20" spans="1:12" ht="15" hidden="1" customHeight="1" x14ac:dyDescent="0.35">
      <c r="A20" s="274">
        <v>44419</v>
      </c>
      <c r="B20" s="299">
        <f>表格1[[#This Row],[日期]]</f>
        <v>44419</v>
      </c>
      <c r="C20" s="300">
        <v>368</v>
      </c>
      <c r="D20" s="281">
        <f>COUNTIF(URS確認!M:M,"&lt;"&amp;A20+1)</f>
        <v>55</v>
      </c>
      <c r="E20" s="83">
        <f>COUNTIF(URS確認!N:N,"&lt;"&amp;A20+1)</f>
        <v>55</v>
      </c>
      <c r="F20" s="281">
        <f t="shared" si="4"/>
        <v>0</v>
      </c>
      <c r="G20" s="281">
        <f t="shared" si="4"/>
        <v>0</v>
      </c>
      <c r="H20" s="281" t="str">
        <f>IF(表格1[[#This Row],[本周完成]]&gt;表格1[[#This Row],[本周預計]],"提前",IF(表格1[[#This Row],[本周完成]]&lt;表格1[[#This Row],[本周預計]],"延遲","如期"))</f>
        <v>如期</v>
      </c>
      <c r="I20" s="318">
        <f>表格1[[#This Row],[累計預估]]/表格1[[#This Row],[合計數]]</f>
        <v>0.14945652173913043</v>
      </c>
      <c r="J20" s="318">
        <f>表格1[[#This Row],[累計完成]]/表格1[[#This Row],[合計數]]</f>
        <v>0.14945652173913043</v>
      </c>
      <c r="K20" s="315"/>
      <c r="L20" s="278"/>
    </row>
    <row r="21" spans="1:12" ht="15" hidden="1" customHeight="1" x14ac:dyDescent="0.35">
      <c r="A21" s="274">
        <v>44420</v>
      </c>
      <c r="B21" s="299">
        <f>表格1[[#This Row],[日期]]</f>
        <v>44420</v>
      </c>
      <c r="C21" s="300">
        <v>368</v>
      </c>
      <c r="D21" s="281">
        <f>COUNTIF(URS確認!M:M,"&lt;"&amp;A21+1)</f>
        <v>55</v>
      </c>
      <c r="E21" s="83">
        <f>COUNTIF(URS確認!N:N,"&lt;"&amp;A21+1)</f>
        <v>55</v>
      </c>
      <c r="F21" s="281">
        <f t="shared" si="4"/>
        <v>0</v>
      </c>
      <c r="G21" s="281">
        <f t="shared" si="4"/>
        <v>0</v>
      </c>
      <c r="H21" s="281" t="str">
        <f>IF(表格1[[#This Row],[本周完成]]&gt;表格1[[#This Row],[本周預計]],"提前",IF(表格1[[#This Row],[本周完成]]&lt;表格1[[#This Row],[本周預計]],"延遲","如期"))</f>
        <v>如期</v>
      </c>
      <c r="I21" s="318">
        <f>表格1[[#This Row],[累計預估]]/表格1[[#This Row],[合計數]]</f>
        <v>0.14945652173913043</v>
      </c>
      <c r="J21" s="318">
        <f>表格1[[#This Row],[累計完成]]/表格1[[#This Row],[合計數]]</f>
        <v>0.14945652173913043</v>
      </c>
      <c r="K21" s="315"/>
      <c r="L21" s="278"/>
    </row>
    <row r="22" spans="1:12" ht="15" hidden="1" customHeight="1" x14ac:dyDescent="0.35">
      <c r="A22" s="48">
        <v>44421</v>
      </c>
      <c r="B22" s="316">
        <f>表格1[[#This Row],[日期]]</f>
        <v>44421</v>
      </c>
      <c r="C22" s="317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8">
        <f>表格1[[#This Row],[累計預估]]/表格1[[#This Row],[合計數]]</f>
        <v>0.14945652173913043</v>
      </c>
      <c r="J22" s="318">
        <f>表格1[[#This Row],[累計完成]]/表格1[[#This Row],[合計數]]</f>
        <v>0.14945652173913043</v>
      </c>
      <c r="K22" s="315"/>
      <c r="L22" s="278"/>
    </row>
    <row r="23" spans="1:12" ht="15" hidden="1" customHeight="1" x14ac:dyDescent="0.35">
      <c r="A23" s="106">
        <v>44424</v>
      </c>
      <c r="B23" s="319">
        <f>表格1[[#This Row],[日期]]</f>
        <v>44424</v>
      </c>
      <c r="C23" s="320">
        <f>COUNTA(URS確認!E:E)-1</f>
        <v>555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8">
        <f>表格1[[#This Row],[累計預估]]/表格1[[#This Row],[合計數]]</f>
        <v>9.90990990990991E-2</v>
      </c>
      <c r="J23" s="318">
        <f>表格1[[#This Row],[累計完成]]/表格1[[#This Row],[合計數]]</f>
        <v>9.90990990990991E-2</v>
      </c>
      <c r="K23" s="315"/>
      <c r="L23" s="278"/>
    </row>
    <row r="24" spans="1:12" ht="15" hidden="1" customHeight="1" x14ac:dyDescent="0.35">
      <c r="A24" s="109">
        <v>44425</v>
      </c>
      <c r="B24" s="321">
        <f>表格1[[#This Row],[日期]]</f>
        <v>44425</v>
      </c>
      <c r="C24" s="322">
        <f>COUNTA(URS確認!E:E)-1</f>
        <v>555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8">
        <f>表格1[[#This Row],[累計預估]]/表格1[[#This Row],[合計數]]</f>
        <v>9.90990990990991E-2</v>
      </c>
      <c r="J24" s="318">
        <f>表格1[[#This Row],[累計完成]]/表格1[[#This Row],[合計數]]</f>
        <v>9.90990990990991E-2</v>
      </c>
      <c r="K24" s="315"/>
      <c r="L24" s="278"/>
    </row>
    <row r="25" spans="1:12" ht="15" hidden="1" customHeight="1" x14ac:dyDescent="0.35">
      <c r="A25" s="109">
        <v>44426</v>
      </c>
      <c r="B25" s="321">
        <f>表格1[[#This Row],[日期]]</f>
        <v>44426</v>
      </c>
      <c r="C25" s="322">
        <f>COUNTA(URS確認!E:E)-1</f>
        <v>555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8">
        <f>表格1[[#This Row],[累計預估]]/表格1[[#This Row],[合計數]]</f>
        <v>9.90990990990991E-2</v>
      </c>
      <c r="J25" s="318">
        <f>表格1[[#This Row],[累計完成]]/表格1[[#This Row],[合計數]]</f>
        <v>9.90990990990991E-2</v>
      </c>
      <c r="K25" s="315"/>
      <c r="L25" s="278"/>
    </row>
    <row r="26" spans="1:12" ht="15" hidden="1" customHeight="1" x14ac:dyDescent="0.35">
      <c r="A26" s="106">
        <v>44427</v>
      </c>
      <c r="B26" s="323">
        <f>表格1[[#This Row],[日期]]</f>
        <v>44427</v>
      </c>
      <c r="C26" s="324">
        <f>COUNTA(URS確認!E:E)-1</f>
        <v>555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8">
        <f>表格1[[#This Row],[累計預估]]/表格1[[#This Row],[合計數]]</f>
        <v>9.90990990990991E-2</v>
      </c>
      <c r="J26" s="318">
        <f>表格1[[#This Row],[累計完成]]/表格1[[#This Row],[合計數]]</f>
        <v>9.90990990990991E-2</v>
      </c>
      <c r="K26" s="315"/>
      <c r="L26" s="278"/>
    </row>
    <row r="27" spans="1:12" ht="15" hidden="1" customHeight="1" x14ac:dyDescent="0.35">
      <c r="A27" s="116">
        <v>44428</v>
      </c>
      <c r="B27" s="325">
        <f>表格1[[#This Row],[日期]]</f>
        <v>44428</v>
      </c>
      <c r="C27" s="326">
        <f>COUNTA(URS確認!E:E)-1-1-2-8-1-112-6-1-2</f>
        <v>422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8">
        <f>表格1[[#This Row],[累計預估]]/表格1[[#This Row],[合計數]]</f>
        <v>0.13033175355450238</v>
      </c>
      <c r="J27" s="318">
        <f>表格1[[#This Row],[累計完成]]/表格1[[#This Row],[合計數]]</f>
        <v>0.13033175355450238</v>
      </c>
      <c r="K27" s="315"/>
      <c r="L27" s="278"/>
    </row>
    <row r="28" spans="1:12" ht="15" hidden="1" customHeight="1" x14ac:dyDescent="0.35">
      <c r="A28" s="114">
        <v>44431</v>
      </c>
      <c r="B28" s="323">
        <f>表格1[[#This Row],[日期]]</f>
        <v>44431</v>
      </c>
      <c r="C28" s="326">
        <f>COUNTA(URS確認!E:E)-1-112-13</f>
        <v>430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8">
        <f>表格1[[#This Row],[累計預估]]/表格1[[#This Row],[合計數]]</f>
        <v>0.14883720930232558</v>
      </c>
      <c r="J28" s="318">
        <f>表格1[[#This Row],[累計完成]]/表格1[[#This Row],[合計數]]</f>
        <v>0.14651162790697675</v>
      </c>
      <c r="K28" s="315"/>
      <c r="L28" s="278"/>
    </row>
    <row r="29" spans="1:12" ht="15" hidden="1" customHeight="1" x14ac:dyDescent="0.35">
      <c r="A29" s="114">
        <v>44432</v>
      </c>
      <c r="B29" s="299">
        <f>表格1[[#This Row],[日期]]</f>
        <v>44432</v>
      </c>
      <c r="C29" s="326">
        <f>COUNTA(URS確認!E:E)-1-112-13</f>
        <v>430</v>
      </c>
      <c r="D29" s="281">
        <f>COUNTIF(URS確認!M:M,"&lt;"&amp;A29+1)</f>
        <v>70</v>
      </c>
      <c r="E29" s="83">
        <f>COUNTIF(URS確認!N:N,"&lt;"&amp;A29+1)</f>
        <v>72</v>
      </c>
      <c r="F29" s="281">
        <f t="shared" si="6"/>
        <v>25</v>
      </c>
      <c r="G29" s="281">
        <f t="shared" si="6"/>
        <v>30</v>
      </c>
      <c r="H29" s="281" t="str">
        <f>IF(表格1[[#This Row],[本周完成]]&gt;表格1[[#This Row],[本周預計]],"提前",IF(表格1[[#This Row],[本周完成]]&lt;表格1[[#This Row],[本周預計]],"延遲","如期"))</f>
        <v>提前</v>
      </c>
      <c r="I29" s="318">
        <f>表格1[[#This Row],[累計預估]]/表格1[[#This Row],[合計數]]</f>
        <v>0.16279069767441862</v>
      </c>
      <c r="J29" s="318">
        <f>表格1[[#This Row],[累計完成]]/表格1[[#This Row],[合計數]]</f>
        <v>0.16744186046511628</v>
      </c>
      <c r="K29" s="315"/>
      <c r="L29" s="278"/>
    </row>
    <row r="30" spans="1:12" ht="15" hidden="1" customHeight="1" x14ac:dyDescent="0.35">
      <c r="A30" s="114">
        <v>44433</v>
      </c>
      <c r="B30" s="299">
        <f>表格1[[#This Row],[日期]]</f>
        <v>44433</v>
      </c>
      <c r="C30" s="326">
        <f>COUNTA(URS確認!E:E)-1-112-13</f>
        <v>430</v>
      </c>
      <c r="D30" s="281">
        <f>COUNTIF(URS確認!M:M,"&lt;"&amp;A30+1)</f>
        <v>76</v>
      </c>
      <c r="E30" s="83">
        <f>COUNTIF(URS確認!N:N,"&lt;"&amp;A30+1)</f>
        <v>78</v>
      </c>
      <c r="F30" s="281">
        <f t="shared" si="6"/>
        <v>23</v>
      </c>
      <c r="G30" s="281">
        <f t="shared" si="6"/>
        <v>36</v>
      </c>
      <c r="H30" s="281" t="str">
        <f>IF(表格1[[#This Row],[本周完成]]&gt;表格1[[#This Row],[本周預計]],"提前",IF(表格1[[#This Row],[本周完成]]&lt;表格1[[#This Row],[本周預計]],"延遲","如期"))</f>
        <v>提前</v>
      </c>
      <c r="I30" s="318">
        <f>表格1[[#This Row],[累計預估]]/表格1[[#This Row],[合計數]]</f>
        <v>0.17674418604651163</v>
      </c>
      <c r="J30" s="318">
        <f>表格1[[#This Row],[累計完成]]/表格1[[#This Row],[合計數]]</f>
        <v>0.18139534883720931</v>
      </c>
      <c r="K30" s="315"/>
      <c r="L30" s="278"/>
    </row>
    <row r="31" spans="1:12" ht="15" hidden="1" customHeight="1" x14ac:dyDescent="0.35">
      <c r="A31" s="114">
        <v>44434</v>
      </c>
      <c r="B31" s="299">
        <f>表格1[[#This Row],[日期]]</f>
        <v>44434</v>
      </c>
      <c r="C31" s="326">
        <f>COUNTA(URS確認!E:E)-1-112-13</f>
        <v>430</v>
      </c>
      <c r="D31" s="281">
        <f>COUNTIF(URS確認!M:M,"&lt;"&amp;A31+1)</f>
        <v>80</v>
      </c>
      <c r="E31" s="83">
        <f>COUNTIF(URS確認!N:N,"&lt;"&amp;A31+1)</f>
        <v>84</v>
      </c>
      <c r="F31" s="281">
        <f t="shared" si="6"/>
        <v>20</v>
      </c>
      <c r="G31" s="281">
        <f t="shared" si="6"/>
        <v>30</v>
      </c>
      <c r="H31" s="281" t="str">
        <f>IF(表格1[[#This Row],[本周完成]]&gt;表格1[[#This Row],[本周預計]],"提前",IF(表格1[[#This Row],[本周完成]]&lt;表格1[[#This Row],[本周預計]],"延遲","如期"))</f>
        <v>提前</v>
      </c>
      <c r="I31" s="318">
        <f>表格1[[#This Row],[累計預估]]/表格1[[#This Row],[合計數]]</f>
        <v>0.18604651162790697</v>
      </c>
      <c r="J31" s="318">
        <f>表格1[[#This Row],[累計完成]]/表格1[[#This Row],[合計數]]</f>
        <v>0.19534883720930232</v>
      </c>
      <c r="K31" s="315"/>
      <c r="L31" s="278"/>
    </row>
    <row r="32" spans="1:12" ht="15" customHeight="1" x14ac:dyDescent="0.35">
      <c r="A32" s="118">
        <v>44435</v>
      </c>
      <c r="B32" s="316">
        <f>表格1[[#This Row],[日期]]</f>
        <v>44435</v>
      </c>
      <c r="C32" s="326">
        <f>COUNTA(URS確認!E:E)-1-1-2-8-1-112-6-1-2-9</f>
        <v>413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8">
        <f>表格1[[#This Row],[累計預估]]/表格1[[#This Row],[合計數]]</f>
        <v>0.20338983050847459</v>
      </c>
      <c r="J32" s="318">
        <f>表格1[[#This Row],[累計完成]]/表格1[[#This Row],[合計數]]</f>
        <v>0.20823244552058112</v>
      </c>
      <c r="K32" s="315"/>
      <c r="L32" s="278"/>
    </row>
    <row r="33" spans="1:12" ht="15" hidden="1" customHeight="1" x14ac:dyDescent="0.35">
      <c r="A33" s="127">
        <v>44438</v>
      </c>
      <c r="B33" s="327">
        <f>表格1[[#This Row],[日期]]</f>
        <v>44438</v>
      </c>
      <c r="C33" s="326">
        <f>COUNTA(URS確認!E:E)-1-112-13</f>
        <v>430</v>
      </c>
      <c r="D33" s="128">
        <f>COUNTIF(URS確認!M:M,"&lt;"&amp;A33+1)</f>
        <v>89</v>
      </c>
      <c r="E33" s="83">
        <f>COUNTIF(URS確認!N:N,"&lt;"&amp;A33+1)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8">
        <f>表格1[[#This Row],[累計預估]]/表格1[[#This Row],[合計數]]</f>
        <v>0.2069767441860465</v>
      </c>
      <c r="J33" s="318">
        <f>表格1[[#This Row],[累計完成]]/表格1[[#This Row],[合計數]]</f>
        <v>0.21627906976744185</v>
      </c>
      <c r="K33" s="315"/>
      <c r="L33" s="278"/>
    </row>
    <row r="34" spans="1:12" ht="15" hidden="1" customHeight="1" x14ac:dyDescent="0.35">
      <c r="A34" s="274">
        <v>44439</v>
      </c>
      <c r="B34" s="299">
        <f>表格1[[#This Row],[日期]]</f>
        <v>44439</v>
      </c>
      <c r="C34" s="326">
        <f>COUNTA(URS確認!E:E)-1-112-13</f>
        <v>430</v>
      </c>
      <c r="D34" s="281">
        <f>COUNTIF(URS確認!M:M,"&lt;"&amp;A34+1)</f>
        <v>93</v>
      </c>
      <c r="E34" s="83">
        <f>COUNTIF(URS確認!N:N,"&lt;"&amp;A34+1)</f>
        <v>108</v>
      </c>
      <c r="F34" s="281">
        <f t="shared" si="7"/>
        <v>30</v>
      </c>
      <c r="G34" s="281">
        <f t="shared" si="7"/>
        <v>26</v>
      </c>
      <c r="H34" s="281" t="str">
        <f>IF(表格1[[#This Row],[本周完成]]&gt;表格1[[#This Row],[本周預計]],"提前",IF(表格1[[#This Row],[本周完成]]&lt;表格1[[#This Row],[本周預計]],"延遲","如期"))</f>
        <v>延遲</v>
      </c>
      <c r="I34" s="318">
        <f>表格1[[#This Row],[累計預估]]/表格1[[#This Row],[合計數]]</f>
        <v>0.21627906976744185</v>
      </c>
      <c r="J34" s="318">
        <f>表格1[[#This Row],[累計完成]]/表格1[[#This Row],[合計數]]</f>
        <v>0.25116279069767444</v>
      </c>
      <c r="K34" s="315"/>
      <c r="L34" s="278"/>
    </row>
    <row r="35" spans="1:12" ht="15" hidden="1" customHeight="1" x14ac:dyDescent="0.35">
      <c r="A35" s="274">
        <v>44440</v>
      </c>
      <c r="B35" s="299">
        <f>表格1[[#This Row],[日期]]</f>
        <v>44440</v>
      </c>
      <c r="C35" s="326">
        <f>COUNTA(URS確認!E:E)-1-112-13</f>
        <v>430</v>
      </c>
      <c r="D35" s="281">
        <f>COUNTIF(URS確認!M:M,"&lt;"&amp;A35+1)</f>
        <v>96</v>
      </c>
      <c r="E35" s="83">
        <f>COUNTIF(URS確認!N:N,"&lt;"&amp;A35+1)</f>
        <v>108</v>
      </c>
      <c r="F35" s="281">
        <f t="shared" si="7"/>
        <v>53</v>
      </c>
      <c r="G35" s="281">
        <f t="shared" si="7"/>
        <v>38</v>
      </c>
      <c r="H35" s="281" t="str">
        <f>IF(表格1[[#This Row],[本周完成]]&gt;表格1[[#This Row],[本周預計]],"提前",IF(表格1[[#This Row],[本周完成]]&lt;表格1[[#This Row],[本周預計]],"延遲","如期"))</f>
        <v>延遲</v>
      </c>
      <c r="I35" s="318">
        <f>表格1[[#This Row],[累計預估]]/表格1[[#This Row],[合計數]]</f>
        <v>0.22325581395348837</v>
      </c>
      <c r="J35" s="318">
        <f>表格1[[#This Row],[累計完成]]/表格1[[#This Row],[合計數]]</f>
        <v>0.25116279069767444</v>
      </c>
      <c r="K35" s="315"/>
      <c r="L35" s="278"/>
    </row>
    <row r="36" spans="1:12" ht="15" hidden="1" customHeight="1" x14ac:dyDescent="0.35">
      <c r="A36" s="274">
        <v>44441</v>
      </c>
      <c r="B36" s="328">
        <f>表格1[[#This Row],[日期]]</f>
        <v>44441</v>
      </c>
      <c r="C36" s="326">
        <f>COUNTA(URS確認!E:E)-1-112-13</f>
        <v>430</v>
      </c>
      <c r="D36" s="129">
        <f>COUNTIF(URS確認!M:M,"&lt;"&amp;A36+1)</f>
        <v>103</v>
      </c>
      <c r="E36" s="83">
        <f>COUNTIF(URS確認!N:N,"&lt;"&amp;A36+1)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8">
        <f>表格1[[#This Row],[累計預估]]/表格1[[#This Row],[合計數]]</f>
        <v>0.23953488372093024</v>
      </c>
      <c r="J36" s="318">
        <f>表格1[[#This Row],[累計完成]]/表格1[[#This Row],[合計數]]</f>
        <v>0.25116279069767444</v>
      </c>
      <c r="K36" s="315"/>
      <c r="L36" s="278"/>
    </row>
    <row r="37" spans="1:12" ht="15" hidden="1" customHeight="1" x14ac:dyDescent="0.35">
      <c r="A37" s="48">
        <v>44442</v>
      </c>
      <c r="B37" s="329">
        <f>表格1[[#This Row],[日期]]</f>
        <v>44442</v>
      </c>
      <c r="C37" s="326">
        <f>COUNTA(URS確認!E:E)-1-1-2-8-1-112-6-1-2</f>
        <v>422</v>
      </c>
      <c r="D37" s="130">
        <f>COUNTIF(URS確認!M:M,"&lt;"&amp;A37+1)</f>
        <v>108</v>
      </c>
      <c r="E37" s="83">
        <f>COUNTIF(URS確認!N:N,"&lt;"&amp;A37+1)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8">
        <f>表格1[[#This Row],[累計預估]]/表格1[[#This Row],[合計數]]</f>
        <v>0.25592417061611372</v>
      </c>
      <c r="J37" s="318">
        <f>表格1[[#This Row],[累計完成]]/表格1[[#This Row],[合計數]]</f>
        <v>0.25592417061611372</v>
      </c>
      <c r="K37" s="315"/>
      <c r="L37" s="278"/>
    </row>
    <row r="38" spans="1:12" ht="15" hidden="1" customHeight="1" x14ac:dyDescent="0.35">
      <c r="A38" s="136">
        <v>44449</v>
      </c>
      <c r="B38" s="330">
        <f>表格1[[#This Row],[日期]]</f>
        <v>44449</v>
      </c>
      <c r="C38" s="326">
        <f>COUNTA(URS確認!E:E)-1-1-2-8-1-112-6-1-2</f>
        <v>422</v>
      </c>
      <c r="D38" s="137">
        <f>COUNTIF(URS確認!M:M,"&lt;"&amp;A38+1)</f>
        <v>119</v>
      </c>
      <c r="E38" s="83">
        <f>COUNTIF(URS確認!N:N,"&lt;"&amp;A38+1)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8">
        <f>表格1[[#This Row],[累計預估]]/表格1[[#This Row],[合計數]]</f>
        <v>0.28199052132701424</v>
      </c>
      <c r="J38" s="318">
        <f>表格1[[#This Row],[累計完成]]/表格1[[#This Row],[合計數]]</f>
        <v>0.28199052132701424</v>
      </c>
      <c r="K38" s="315"/>
      <c r="L38" s="278"/>
    </row>
    <row r="39" spans="1:12" ht="15" hidden="1" customHeight="1" x14ac:dyDescent="0.35">
      <c r="A39" s="136">
        <v>44456</v>
      </c>
      <c r="B39" s="330">
        <f>表格1[[#This Row],[日期]]</f>
        <v>44456</v>
      </c>
      <c r="C39" s="326">
        <f>COUNTA(URS確認!E:E)-1-1-2-8-1-112-6-1-2</f>
        <v>422</v>
      </c>
      <c r="D39" s="137">
        <f>COUNTIF(URS確認!M:M,"&lt;"&amp;A39+1)</f>
        <v>146</v>
      </c>
      <c r="E39" s="83">
        <f>COUNTIF(URS確認!N:N,"&lt;"&amp;A39+1)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8">
        <f>表格1[[#This Row],[累計預估]]/表格1[[#This Row],[合計數]]</f>
        <v>0.34597156398104267</v>
      </c>
      <c r="J39" s="318">
        <f>表格1[[#This Row],[累計完成]]/表格1[[#This Row],[合計數]]</f>
        <v>0.34597156398104267</v>
      </c>
      <c r="K39" s="315"/>
      <c r="L39" s="278"/>
    </row>
    <row r="40" spans="1:12" ht="15" hidden="1" customHeight="1" x14ac:dyDescent="0.35">
      <c r="A40" s="48">
        <v>44463</v>
      </c>
      <c r="B40" s="316">
        <f>表格1[[#This Row],[日期]]</f>
        <v>44463</v>
      </c>
      <c r="C40" s="326">
        <f>COUNTA(URS確認!E:E)-1-1-2-8-1-112-6-1-2</f>
        <v>422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8">
        <f>表格1[[#This Row],[累計預估]]/表格1[[#This Row],[合計數]]</f>
        <v>0.38625592417061611</v>
      </c>
      <c r="J40" s="318">
        <f>表格1[[#This Row],[累計完成]]/表格1[[#This Row],[合計數]]</f>
        <v>0.41469194312796209</v>
      </c>
      <c r="K40" s="315" t="s">
        <v>68</v>
      </c>
      <c r="L40" s="278"/>
    </row>
    <row r="41" spans="1:12" ht="15" customHeight="1" x14ac:dyDescent="0.35">
      <c r="A41" s="48">
        <v>44470</v>
      </c>
      <c r="B41" s="316">
        <f>表格1[[#This Row],[日期]]</f>
        <v>44470</v>
      </c>
      <c r="C41" s="326">
        <f>COUNTA(URS確認!E:E)-1-1-2-8-1-112-6-2-9</f>
        <v>414</v>
      </c>
      <c r="D41" s="83">
        <f>COUNTIF(URS確認!M:M,"&lt;"&amp;A41+1)</f>
        <v>194</v>
      </c>
      <c r="E41" s="83">
        <f>COUNTIF(URS確認!N:N,"&lt;"&amp;A41+1)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8">
        <f>表格1[[#This Row],[累計預估]]/表格1[[#This Row],[合計數]]</f>
        <v>0.46859903381642515</v>
      </c>
      <c r="J41" s="318">
        <f>表格1[[#This Row],[累計完成]]/表格1[[#This Row],[合計數]]</f>
        <v>0.53381642512077299</v>
      </c>
      <c r="K41" s="315"/>
      <c r="L41" s="278"/>
    </row>
    <row r="42" spans="1:12" ht="15" hidden="1" customHeight="1" x14ac:dyDescent="0.35">
      <c r="A42" s="48">
        <v>44477</v>
      </c>
      <c r="B42" s="316">
        <f>表格1[[#This Row],[日期]]</f>
        <v>44477</v>
      </c>
      <c r="C42" s="326">
        <f>COUNTA(URS確認!E:E)-1-1-2-8-1-112-6-1</f>
        <v>424</v>
      </c>
      <c r="D42" s="83">
        <f>COUNTIF(URS確認!M:M,"&lt;"&amp;A42+1)</f>
        <v>221</v>
      </c>
      <c r="E42" s="83">
        <f>COUNTIF(URS確認!N:N,"&lt;"&amp;A42+1)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8">
        <f>表格1[[#This Row],[累計預估]]/表格1[[#This Row],[合計數]]</f>
        <v>0.52122641509433965</v>
      </c>
      <c r="J42" s="318">
        <f>表格1[[#This Row],[累計完成]]/表格1[[#This Row],[合計數]]</f>
        <v>0.54009433962264153</v>
      </c>
      <c r="K42" s="315"/>
      <c r="L42" s="278"/>
    </row>
    <row r="43" spans="1:12" ht="15" hidden="1" customHeight="1" x14ac:dyDescent="0.35">
      <c r="A43" s="48">
        <v>44484</v>
      </c>
      <c r="B43" s="316">
        <f>表格1[[#This Row],[日期]]</f>
        <v>44484</v>
      </c>
      <c r="C43" s="326">
        <f>COUNTA(URS確認!E:E)-1-1-2-8-1-112-6-1</f>
        <v>424</v>
      </c>
      <c r="D43" s="83">
        <f>COUNTIF(URS確認!M:M,"&lt;"&amp;A43+1)</f>
        <v>231</v>
      </c>
      <c r="E43" s="83">
        <f>COUNTIF(URS確認!N:N,"&lt;"&amp;A43+1)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8">
        <f>表格1[[#This Row],[累計預估]]/表格1[[#This Row],[合計數]]</f>
        <v>0.54481132075471694</v>
      </c>
      <c r="J43" s="318">
        <f>表格1[[#This Row],[累計完成]]/表格1[[#This Row],[合計數]]</f>
        <v>0.62735849056603776</v>
      </c>
      <c r="K43" s="315"/>
      <c r="L43" s="278"/>
    </row>
    <row r="44" spans="1:12" ht="15" hidden="1" customHeight="1" x14ac:dyDescent="0.35">
      <c r="A44" s="274">
        <v>44487</v>
      </c>
      <c r="B44" s="299">
        <f>表格1[[#This Row],[日期]]</f>
        <v>44487</v>
      </c>
      <c r="C44" s="300">
        <f>COUNTA(URS確認!E:E)-1-112-13</f>
        <v>430</v>
      </c>
      <c r="D44" s="281">
        <f>COUNTIF(URS確認!M:M,"&lt;"&amp;A44+1)</f>
        <v>246</v>
      </c>
      <c r="E44" s="83">
        <f>COUNTIF(URS確認!N:N,"&lt;"&amp;A44+1)</f>
        <v>279</v>
      </c>
      <c r="H44" s="281" t="str">
        <f>IF(表格1[[#This Row],[本周完成]]&gt;表格1[[#This Row],[本周預計]],"提前",IF(表格1[[#This Row],[本周完成]]&lt;表格1[[#This Row],[本周預計]],"延遲","如期"))</f>
        <v>如期</v>
      </c>
      <c r="I44" s="301">
        <f>表格1[[#This Row],[累計預估]]/表格1[[#This Row],[合計數]]</f>
        <v>0.5720930232558139</v>
      </c>
      <c r="J44" s="301">
        <f>表格1[[#This Row],[累計完成]]/表格1[[#This Row],[合計數]]</f>
        <v>0.64883720930232558</v>
      </c>
      <c r="K44" s="315"/>
      <c r="L44" s="278"/>
    </row>
    <row r="45" spans="1:12" ht="15" hidden="1" customHeight="1" x14ac:dyDescent="0.35">
      <c r="A45" s="274">
        <v>44487</v>
      </c>
      <c r="B45" s="299">
        <f>表格1[[#This Row],[日期]]</f>
        <v>44487</v>
      </c>
      <c r="C45" s="300">
        <f>COUNTA(URS確認!E:E)-1-1-2-8-1-112-6-1</f>
        <v>424</v>
      </c>
      <c r="D45" s="281">
        <f>COUNTIF(URS確認!M:M,"&lt;"&amp;A45+1)</f>
        <v>246</v>
      </c>
      <c r="E45" s="83">
        <f>COUNTIF(URS確認!N:N,"&lt;"&amp;A45+1)</f>
        <v>279</v>
      </c>
      <c r="F45" s="281">
        <f>D49-D44</f>
        <v>29</v>
      </c>
      <c r="G45" s="28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01">
        <f>表格1[[#This Row],[累計預估]]/表格1[[#This Row],[合計數]]</f>
        <v>0.58018867924528306</v>
      </c>
      <c r="J45" s="301">
        <f>表格1[[#This Row],[累計完成]]/表格1[[#This Row],[合計數]]</f>
        <v>0.65801886792452835</v>
      </c>
      <c r="K45" s="315" t="s">
        <v>68</v>
      </c>
      <c r="L45" s="278"/>
    </row>
    <row r="46" spans="1:12" ht="15" hidden="1" customHeight="1" x14ac:dyDescent="0.35">
      <c r="A46" s="274">
        <v>44488</v>
      </c>
      <c r="B46" s="299">
        <f>表格1[[#This Row],[日期]]</f>
        <v>44488</v>
      </c>
      <c r="C46" s="300">
        <f>COUNTA(URS確認!E:E)-1-1-2-8-1-112-6</f>
        <v>425</v>
      </c>
      <c r="D46" s="281">
        <f>COUNTIF(URS確認!M:M,"&lt;"&amp;A46+1)</f>
        <v>254</v>
      </c>
      <c r="E46" s="83">
        <f>COUNTIF(URS確認!N:N,"&lt;"&amp;A46+1)</f>
        <v>288</v>
      </c>
      <c r="H46" s="281" t="str">
        <f>IF(表格1[[#This Row],[本周完成]]&gt;表格1[[#This Row],[本周預計]],"提前",IF(表格1[[#This Row],[本周完成]]&lt;表格1[[#This Row],[本周預計]],"延遲","如期"))</f>
        <v>如期</v>
      </c>
      <c r="I46" s="301">
        <f>表格1[[#This Row],[累計預估]]/表格1[[#This Row],[合計數]]</f>
        <v>0.59764705882352942</v>
      </c>
      <c r="J46" s="301">
        <f>表格1[[#This Row],[累計完成]]/表格1[[#This Row],[合計數]]</f>
        <v>0.67764705882352938</v>
      </c>
      <c r="K46" s="315" t="s">
        <v>69</v>
      </c>
      <c r="L46" s="278"/>
    </row>
    <row r="47" spans="1:12" ht="15" hidden="1" customHeight="1" x14ac:dyDescent="0.35">
      <c r="A47" s="274">
        <v>44489</v>
      </c>
      <c r="B47" s="299">
        <f>表格1[[#This Row],[日期]]</f>
        <v>44489</v>
      </c>
      <c r="C47" s="300">
        <f>COUNTA(URS確認!E:E)-1-1-2-8-1-112</f>
        <v>431</v>
      </c>
      <c r="D47" s="281">
        <f>COUNTIF(URS確認!M:M,"&lt;"&amp;A47+1)</f>
        <v>258</v>
      </c>
      <c r="E47" s="83">
        <f>COUNTIF(URS確認!N:N,"&lt;"&amp;A47+1)</f>
        <v>292</v>
      </c>
      <c r="H47" s="281" t="str">
        <f>IF(表格1[[#This Row],[本周完成]]&gt;表格1[[#This Row],[本周預計]],"提前",IF(表格1[[#This Row],[本周完成]]&lt;表格1[[#This Row],[本周預計]],"延遲","如期"))</f>
        <v>如期</v>
      </c>
      <c r="I47" s="301">
        <f>表格1[[#This Row],[累計預估]]/表格1[[#This Row],[合計數]]</f>
        <v>0.59860788863109049</v>
      </c>
      <c r="J47" s="301">
        <f>表格1[[#This Row],[累計完成]]/表格1[[#This Row],[合計數]]</f>
        <v>0.6774941995359629</v>
      </c>
      <c r="K47" s="315"/>
      <c r="L47" s="278"/>
    </row>
    <row r="48" spans="1:12" ht="15" hidden="1" customHeight="1" x14ac:dyDescent="0.35">
      <c r="A48" s="274">
        <v>44490</v>
      </c>
      <c r="B48" s="299">
        <f>表格1[[#This Row],[日期]]</f>
        <v>44490</v>
      </c>
      <c r="C48" s="300">
        <f>COUNTA(URS確認!E:E)-1-1-2-8-1-112</f>
        <v>431</v>
      </c>
      <c r="D48" s="281">
        <f>COUNTIF(URS確認!M:M,"&lt;"&amp;A48+1)</f>
        <v>266</v>
      </c>
      <c r="E48" s="83">
        <f>COUNTIF(URS確認!N:N,"&lt;"&amp;A48+1)</f>
        <v>301</v>
      </c>
      <c r="H48" s="281" t="str">
        <f>IF(表格1[[#This Row],[本周完成]]&gt;表格1[[#This Row],[本周預計]],"提前",IF(表格1[[#This Row],[本周完成]]&lt;表格1[[#This Row],[本周預計]],"延遲","如期"))</f>
        <v>如期</v>
      </c>
      <c r="I48" s="301">
        <f>表格1[[#This Row],[累計預估]]/表格1[[#This Row],[合計數]]</f>
        <v>0.61716937354988399</v>
      </c>
      <c r="J48" s="301">
        <f>表格1[[#This Row],[累計完成]]/表格1[[#This Row],[合計數]]</f>
        <v>0.69837587006960555</v>
      </c>
      <c r="K48" s="315" t="s">
        <v>70</v>
      </c>
      <c r="L48" s="278"/>
    </row>
    <row r="49" spans="1:12" ht="15" hidden="1" customHeight="1" x14ac:dyDescent="0.35">
      <c r="A49" s="48">
        <v>44491</v>
      </c>
      <c r="B49" s="316">
        <f>表格1[[#This Row],[日期]]</f>
        <v>44491</v>
      </c>
      <c r="C49" s="317">
        <f>COUNTA(URS確認!E:E)-1-2-8-1</f>
        <v>544</v>
      </c>
      <c r="D49" s="83">
        <f>COUNTIF(URS確認!M:M,"&lt;"&amp;A49+1)</f>
        <v>275</v>
      </c>
      <c r="E49" s="83">
        <f>COUNTIF(URS確認!N:N,"&lt;"&amp;A49+1)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8">
        <f>表格1[[#This Row],[累計預估]]/表格1[[#This Row],[合計數]]</f>
        <v>0.50551470588235292</v>
      </c>
      <c r="J49" s="318">
        <f>表格1[[#This Row],[累計完成]]/表格1[[#This Row],[合計數]]</f>
        <v>0.56066176470588236</v>
      </c>
      <c r="K49" s="315"/>
      <c r="L49" s="278"/>
    </row>
    <row r="50" spans="1:12" ht="15" hidden="1" customHeight="1" x14ac:dyDescent="0.35">
      <c r="A50" s="208">
        <v>44494</v>
      </c>
      <c r="B50" s="331">
        <f>表格1[[#This Row],[日期]]</f>
        <v>44494</v>
      </c>
      <c r="C50" s="332">
        <f>COUNTA(URS確認!E:E)-1-2-8-1</f>
        <v>544</v>
      </c>
      <c r="D50" s="209">
        <f>COUNTIF(URS確認!M:M,"&lt;"&amp;A50+1)</f>
        <v>289</v>
      </c>
      <c r="E50" s="83">
        <f>COUNTIF(URS確認!N:N,"&lt;"&amp;A50+1)</f>
        <v>317</v>
      </c>
      <c r="F50" s="281">
        <v>33</v>
      </c>
      <c r="G50" s="281">
        <f>E65-E49</f>
        <v>189</v>
      </c>
      <c r="H50" s="281" t="str">
        <f>IF(表格1[[#This Row],[本周完成]]&gt;表格1[[#This Row],[本周預計]],"提前",IF(表格1[[#This Row],[本周完成]]&lt;表格1[[#This Row],[本周預計]],"延遲","如期"))</f>
        <v>提前</v>
      </c>
      <c r="I50" s="333">
        <f>表格1[[#This Row],[累計預估]]/表格1[[#This Row],[合計數]]</f>
        <v>0.53125</v>
      </c>
      <c r="J50" s="333">
        <f>表格1[[#This Row],[累計完成]]/表格1[[#This Row],[合計數]]</f>
        <v>0.58272058823529416</v>
      </c>
      <c r="K50" s="315" t="s">
        <v>68</v>
      </c>
      <c r="L50" s="278"/>
    </row>
    <row r="51" spans="1:12" ht="15" hidden="1" customHeight="1" x14ac:dyDescent="0.35">
      <c r="A51" s="208">
        <v>44495</v>
      </c>
      <c r="B51" s="299">
        <f>表格1[[#This Row],[日期]]</f>
        <v>44495</v>
      </c>
      <c r="C51" s="300">
        <f>COUNTA(URS確認!E:E)-1-2-8</f>
        <v>545</v>
      </c>
      <c r="D51" s="281">
        <f>COUNTIF(URS確認!M:M,"&lt;"&amp;A51+1)</f>
        <v>289</v>
      </c>
      <c r="E51" s="83">
        <f>COUNTIF(URS確認!N:N,"&lt;"&amp;A51+1)</f>
        <v>317</v>
      </c>
      <c r="F51" s="281">
        <f>D65-D50</f>
        <v>205</v>
      </c>
      <c r="G51" s="281">
        <f>E65-E50</f>
        <v>177</v>
      </c>
      <c r="H51" s="281" t="str">
        <f>IF(表格1[[#This Row],[本周完成]]&gt;表格1[[#This Row],[本周預計]],"提前",IF(表格1[[#This Row],[本周完成]]&lt;表格1[[#This Row],[本周預計]],"延遲","如期"))</f>
        <v>延遲</v>
      </c>
      <c r="I51" s="301">
        <f>表格1[[#This Row],[累計預估]]/表格1[[#This Row],[合計數]]</f>
        <v>0.53027522935779814</v>
      </c>
      <c r="J51" s="301">
        <f>表格1[[#This Row],[累計完成]]/表格1[[#This Row],[合計數]]</f>
        <v>0.58165137614678897</v>
      </c>
      <c r="K51" s="315" t="s">
        <v>71</v>
      </c>
      <c r="L51" s="278"/>
    </row>
    <row r="52" spans="1:12" ht="15" hidden="1" customHeight="1" x14ac:dyDescent="0.35">
      <c r="A52" s="208">
        <v>44496</v>
      </c>
      <c r="B52" s="299">
        <f>表格1[[#This Row],[日期]]</f>
        <v>44496</v>
      </c>
      <c r="C52" s="300">
        <f>COUNTA(URS確認!E:E)-1-2</f>
        <v>553</v>
      </c>
      <c r="D52" s="281">
        <f>COUNTIF(URS確認!M:M,"&lt;"&amp;A52+1)</f>
        <v>297</v>
      </c>
      <c r="E52" s="83">
        <f>COUNTIF(URS確認!N:N,"&lt;"&amp;A52+1)</f>
        <v>332</v>
      </c>
      <c r="F52" s="281">
        <f>D65-D51</f>
        <v>205</v>
      </c>
      <c r="G52" s="281">
        <f>E65-E51</f>
        <v>177</v>
      </c>
      <c r="H52" s="281" t="str">
        <f>IF(表格1[[#This Row],[本周完成]]&gt;表格1[[#This Row],[本周預計]],"提前",IF(表格1[[#This Row],[本周完成]]&lt;表格1[[#This Row],[本周預計]],"延遲","如期"))</f>
        <v>延遲</v>
      </c>
      <c r="I52" s="301">
        <f>表格1[[#This Row],[累計預估]]/表格1[[#This Row],[合計數]]</f>
        <v>0.53707052441229652</v>
      </c>
      <c r="J52" s="301">
        <f>表格1[[#This Row],[累計完成]]/表格1[[#This Row],[合計數]]</f>
        <v>0.60036166365280286</v>
      </c>
      <c r="K52" s="315"/>
      <c r="L52" s="278"/>
    </row>
    <row r="53" spans="1:12" ht="15" hidden="1" customHeight="1" x14ac:dyDescent="0.35">
      <c r="A53" s="208">
        <v>44497</v>
      </c>
      <c r="B53" s="299">
        <f>表格1[[#This Row],[日期]]</f>
        <v>44497</v>
      </c>
      <c r="C53" s="300">
        <f>COUNTA(URS確認!E:E)-1-2</f>
        <v>553</v>
      </c>
      <c r="D53" s="281">
        <f>COUNTIF(URS確認!M:M,"&lt;"&amp;A53+1)</f>
        <v>304</v>
      </c>
      <c r="E53" s="83">
        <f>COUNTIF(URS確認!N:N,"&lt;"&amp;A53+1)</f>
        <v>332</v>
      </c>
      <c r="F53" s="281">
        <f>D65-D52</f>
        <v>197</v>
      </c>
      <c r="G53" s="281">
        <f>E65-E52</f>
        <v>162</v>
      </c>
      <c r="H53" s="281" t="str">
        <f>IF(表格1[[#This Row],[本周完成]]&gt;表格1[[#This Row],[本周預計]],"提前",IF(表格1[[#This Row],[本周完成]]&lt;表格1[[#This Row],[本周預計]],"延遲","如期"))</f>
        <v>延遲</v>
      </c>
      <c r="I53" s="301">
        <f>表格1[[#This Row],[累計預估]]/表格1[[#This Row],[合計數]]</f>
        <v>0.54972875226039786</v>
      </c>
      <c r="J53" s="301">
        <f>表格1[[#This Row],[累計完成]]/表格1[[#This Row],[合計數]]</f>
        <v>0.60036166365280286</v>
      </c>
      <c r="K53" s="315" t="s">
        <v>72</v>
      </c>
      <c r="L53" s="278"/>
    </row>
    <row r="54" spans="1:12" ht="15" customHeight="1" x14ac:dyDescent="0.35">
      <c r="A54" s="48">
        <v>44498</v>
      </c>
      <c r="B54" s="316">
        <f>表格1[[#This Row],[日期]]</f>
        <v>44498</v>
      </c>
      <c r="C54" s="317">
        <f>COUNTA(URS確認!E:E)-1-2-9</f>
        <v>544</v>
      </c>
      <c r="D54" s="83">
        <f>COUNTIF(URS確認!M:M,"&lt;"&amp;A54+1)</f>
        <v>314</v>
      </c>
      <c r="E54" s="83">
        <f>COUNTIF(URS確認!N:N,"&lt;"&amp;A54+1)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73</v>
      </c>
      <c r="I54" s="318">
        <f>表格1[[#This Row],[累計預估]]/表格1[[#This Row],[合計數]]</f>
        <v>0.57720588235294112</v>
      </c>
      <c r="J54" s="318">
        <f>表格1[[#This Row],[累計完成]]/表格1[[#This Row],[合計數]]</f>
        <v>0.63970588235294112</v>
      </c>
      <c r="K54" s="315"/>
      <c r="L54" s="278"/>
    </row>
    <row r="55" spans="1:12" ht="15" hidden="1" customHeight="1" x14ac:dyDescent="0.35">
      <c r="A55" s="274">
        <v>44501</v>
      </c>
      <c r="B55" s="299">
        <f>表格1[[#This Row],[日期]]</f>
        <v>44501</v>
      </c>
      <c r="C55" s="300">
        <f>COUNTA(URS確認!E:E)-1-2</f>
        <v>553</v>
      </c>
      <c r="D55" s="281">
        <f>COUNTIF(URS確認!M:M,"&lt;"&amp;A55+1)</f>
        <v>314</v>
      </c>
      <c r="E55" s="83">
        <f>COUNTIF(URS確認!N:N,"&lt;"&amp;A55+1)</f>
        <v>348</v>
      </c>
      <c r="F55" s="281">
        <f>D68-D54</f>
        <v>198</v>
      </c>
      <c r="G55" s="281">
        <f>E68-E54</f>
        <v>166</v>
      </c>
      <c r="H55" s="249" t="s">
        <v>73</v>
      </c>
      <c r="I55" s="301">
        <f>表格1[[#This Row],[累計預估]]/表格1[[#This Row],[合計數]]</f>
        <v>0.56781193490054249</v>
      </c>
      <c r="J55" s="301">
        <f>表格1[[#This Row],[累計完成]]/表格1[[#This Row],[合計數]]</f>
        <v>0.62929475587703432</v>
      </c>
      <c r="K55" s="315"/>
      <c r="L55" s="278"/>
    </row>
    <row r="56" spans="1:12" ht="15" hidden="1" customHeight="1" x14ac:dyDescent="0.35">
      <c r="A56" s="274">
        <v>44502</v>
      </c>
      <c r="B56" s="299">
        <f>表格1[[#This Row],[日期]]</f>
        <v>44502</v>
      </c>
      <c r="C56" s="300">
        <f>COUNTA(URS確認!E:E)-1-1</f>
        <v>554</v>
      </c>
      <c r="D56" s="281">
        <f>COUNTIF(URS確認!M:M,"&lt;"&amp;A56+1)</f>
        <v>316</v>
      </c>
      <c r="E56" s="83">
        <f>COUNTIF(URS確認!N:N,"&lt;"&amp;A56+1)</f>
        <v>348</v>
      </c>
      <c r="F56" s="281">
        <f>D68-D55</f>
        <v>198</v>
      </c>
      <c r="G56" s="281">
        <f>E68-E55</f>
        <v>166</v>
      </c>
      <c r="H56" s="249" t="s">
        <v>73</v>
      </c>
      <c r="I56" s="301">
        <f>表格1[[#This Row],[累計預估]]/表格1[[#This Row],[合計數]]</f>
        <v>0.5703971119133574</v>
      </c>
      <c r="J56" s="301">
        <f>表格1[[#This Row],[累計完成]]/表格1[[#This Row],[合計數]]</f>
        <v>0.62815884476534301</v>
      </c>
      <c r="K56" s="315" t="s">
        <v>68</v>
      </c>
      <c r="L56" s="278"/>
    </row>
    <row r="57" spans="1:12" ht="15" hidden="1" customHeight="1" x14ac:dyDescent="0.35">
      <c r="A57" s="274">
        <v>44503</v>
      </c>
      <c r="B57" s="299">
        <f>表格1[[#This Row],[日期]]</f>
        <v>44503</v>
      </c>
      <c r="C57" s="300">
        <f>COUNTA(URS確認!E:E)-1</f>
        <v>555</v>
      </c>
      <c r="D57" s="281">
        <f>COUNTIF(URS確認!M:M,"&lt;"&amp;A57+1)</f>
        <v>321</v>
      </c>
      <c r="E57" s="83">
        <f>COUNTIF(URS確認!N:N,"&lt;"&amp;A57+1)</f>
        <v>357</v>
      </c>
      <c r="F57" s="281">
        <f>D65-D56</f>
        <v>178</v>
      </c>
      <c r="G57" s="281">
        <f>E65-E56</f>
        <v>146</v>
      </c>
      <c r="H57" s="249" t="s">
        <v>74</v>
      </c>
      <c r="I57" s="301">
        <f>表格1[[#This Row],[累計預估]]/表格1[[#This Row],[合計數]]</f>
        <v>0.57837837837837835</v>
      </c>
      <c r="J57" s="301">
        <f>表格1[[#This Row],[累計完成]]/表格1[[#This Row],[合計數]]</f>
        <v>0.64324324324324322</v>
      </c>
      <c r="K57" s="315" t="s">
        <v>68</v>
      </c>
      <c r="L57" s="278"/>
    </row>
    <row r="58" spans="1:12" ht="15" hidden="1" customHeight="1" x14ac:dyDescent="0.35">
      <c r="A58" s="274">
        <v>44504</v>
      </c>
      <c r="B58" s="299">
        <f>表格1[[#This Row],[日期]]</f>
        <v>44504</v>
      </c>
      <c r="C58" s="300">
        <f>COUNTA(URS確認!E:E)-1</f>
        <v>555</v>
      </c>
      <c r="D58" s="281">
        <f>COUNTIF(URS確認!M:M,"&lt;"&amp;A58+1)</f>
        <v>328</v>
      </c>
      <c r="E58" s="83">
        <f>COUNTIF(URS確認!N:N,"&lt;"&amp;A58+1)</f>
        <v>362</v>
      </c>
      <c r="F58" s="281">
        <f>D68-D57</f>
        <v>191</v>
      </c>
      <c r="G58" s="281">
        <f>E68-E57</f>
        <v>157</v>
      </c>
      <c r="I58" s="301">
        <f>表格1[[#This Row],[累計預估]]/表格1[[#This Row],[合計數]]</f>
        <v>0.59099099099099095</v>
      </c>
      <c r="J58" s="301">
        <f>表格1[[#This Row],[累計完成]]/表格1[[#This Row],[合計數]]</f>
        <v>0.65225225225225225</v>
      </c>
      <c r="K58" s="315"/>
      <c r="L58" s="278"/>
    </row>
    <row r="59" spans="1:12" ht="15" customHeight="1" x14ac:dyDescent="0.35">
      <c r="A59" s="48">
        <v>44505</v>
      </c>
      <c r="B59" s="316">
        <f>表格1[[#This Row],[日期]]</f>
        <v>44505</v>
      </c>
      <c r="C59" s="317">
        <f>COUNTA(URS確認!E:E)-1-9</f>
        <v>546</v>
      </c>
      <c r="D59" s="83">
        <f>COUNTIF(URS確認!M:M,"&lt;"&amp;A59+1)</f>
        <v>333</v>
      </c>
      <c r="E59" s="83">
        <f>COUNTIF(URS確認!N:N,"&lt;"&amp;A59+1)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8">
        <f>表格1[[#This Row],[累計預估]]/表格1[[#This Row],[合計數]]</f>
        <v>0.60989010989010994</v>
      </c>
      <c r="J59" s="318">
        <f>表格1[[#This Row],[累計完成]]/表格1[[#This Row],[合計數]]</f>
        <v>0.67216117216117222</v>
      </c>
      <c r="K59" s="315"/>
      <c r="L59" s="278"/>
    </row>
    <row r="60" spans="1:12" ht="15" customHeight="1" x14ac:dyDescent="0.35">
      <c r="A60" s="48">
        <v>44512</v>
      </c>
      <c r="B60" s="316">
        <f>表格1[[#This Row],[日期]]</f>
        <v>44512</v>
      </c>
      <c r="C60" s="317">
        <f>COUNTA(URS確認!E:E)-1-9</f>
        <v>546</v>
      </c>
      <c r="D60" s="83">
        <f>COUNTIF(URS確認!M:M,"&lt;"&amp;A60+1)</f>
        <v>333</v>
      </c>
      <c r="E60" s="83">
        <f>COUNTIF(URS確認!N:N,"&lt;"&amp;A60+1)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8">
        <f>表格1[[#This Row],[累計預估]]/表格1[[#This Row],[合計數]]</f>
        <v>0.60989010989010994</v>
      </c>
      <c r="J60" s="318">
        <f>表格1[[#This Row],[累計完成]]/表格1[[#This Row],[合計數]]</f>
        <v>0.67216117216117222</v>
      </c>
      <c r="K60" s="315"/>
      <c r="L60" s="278"/>
    </row>
    <row r="61" spans="1:12" ht="15" hidden="1" customHeight="1" x14ac:dyDescent="0.35">
      <c r="A61" s="274">
        <v>44515</v>
      </c>
      <c r="B61" s="299">
        <f>表格1[[#This Row],[日期]]</f>
        <v>44515</v>
      </c>
      <c r="C61" s="300">
        <v>503</v>
      </c>
      <c r="D61" s="281">
        <f>COUNTIF(URS確認!M:M,"&lt;"&amp;A61+1)</f>
        <v>378</v>
      </c>
      <c r="E61" s="83">
        <f>COUNTIF(URS確認!N:N,"&lt;"&amp;A61+1)</f>
        <v>367</v>
      </c>
      <c r="F61" s="281">
        <f>D65-D60</f>
        <v>161</v>
      </c>
      <c r="G61" s="281">
        <f>E61-E60</f>
        <v>0</v>
      </c>
      <c r="H61" s="281" t="str">
        <f>IF(表格1[[#This Row],[本周完成]]&gt;表格1[[#This Row],[本周預計]],"提前",IF(表格1[[#This Row],[本周完成]]&lt;表格1[[#This Row],[本周預計]],"延遲","如期"))</f>
        <v>延遲</v>
      </c>
      <c r="I61" s="301">
        <f>表格1[[#This Row],[累計預估]]/表格1[[#This Row],[合計數]]</f>
        <v>0.75149105367793245</v>
      </c>
      <c r="J61" s="301">
        <f>表格1[[#This Row],[累計完成]]/表格1[[#This Row],[合計數]]</f>
        <v>0.72962226640159045</v>
      </c>
      <c r="K61" s="315"/>
      <c r="L61" s="278"/>
    </row>
    <row r="62" spans="1:12" ht="15" hidden="1" customHeight="1" x14ac:dyDescent="0.35">
      <c r="A62" s="274">
        <v>44516</v>
      </c>
      <c r="B62" s="299">
        <f>表格1[[#This Row],[日期]]</f>
        <v>44516</v>
      </c>
      <c r="C62" s="300">
        <f>COUNTA(URS確認!E:E)-1</f>
        <v>555</v>
      </c>
      <c r="D62" s="281">
        <f>COUNTIF(URS確認!M:M,"&lt;"&amp;A62+1)</f>
        <v>420</v>
      </c>
      <c r="E62" s="83">
        <f>COUNTIF(URS確認!N:N,"&lt;"&amp;A62+1)</f>
        <v>367</v>
      </c>
      <c r="F62" s="281">
        <f>D65-D60</f>
        <v>161</v>
      </c>
      <c r="G62" s="281">
        <f>E62-E60</f>
        <v>0</v>
      </c>
      <c r="H62" s="281" t="str">
        <f>IF(表格1[[#This Row],[本周完成]]&gt;表格1[[#This Row],[本周預計]],"提前",IF(表格1[[#This Row],[本周完成]]&lt;表格1[[#This Row],[本周預計]],"延遲","如期"))</f>
        <v>延遲</v>
      </c>
      <c r="I62" s="301">
        <f>表格1[[#This Row],[累計預估]]/表格1[[#This Row],[合計數]]</f>
        <v>0.7567567567567568</v>
      </c>
      <c r="J62" s="301">
        <f>表格1[[#This Row],[累計完成]]/表格1[[#This Row],[合計數]]</f>
        <v>0.66126126126126128</v>
      </c>
      <c r="K62" s="315"/>
      <c r="L62" s="278"/>
    </row>
    <row r="63" spans="1:12" ht="15" hidden="1" customHeight="1" x14ac:dyDescent="0.35">
      <c r="A63" s="274">
        <v>44517</v>
      </c>
      <c r="B63" s="299">
        <f>表格1[[#This Row],[日期]]</f>
        <v>44517</v>
      </c>
      <c r="C63" s="300">
        <f>COUNTA(URS確認!E:E)-1</f>
        <v>555</v>
      </c>
      <c r="D63" s="281">
        <f>COUNTIF(URS確認!M:M,"&lt;"&amp;A63+1)</f>
        <v>433</v>
      </c>
      <c r="E63" s="83">
        <f>COUNTIF(URS確認!N:N,"&lt;"&amp;A63+1)</f>
        <v>485</v>
      </c>
      <c r="F63" s="281">
        <f>$D65-$D60</f>
        <v>161</v>
      </c>
      <c r="G63" s="281">
        <f>E65-E60</f>
        <v>127</v>
      </c>
      <c r="H63" s="281" t="str">
        <f>IF(表格1[[#This Row],[本周完成]]&gt;表格1[[#This Row],[本周預計]],"提前",IF(表格1[[#This Row],[本周完成]]&lt;表格1[[#This Row],[本周預計]],"延遲","如期"))</f>
        <v>延遲</v>
      </c>
      <c r="I63" s="301">
        <f>表格1[[#This Row],[累計預估]]/表格1[[#This Row],[合計數]]</f>
        <v>0.7801801801801802</v>
      </c>
      <c r="J63" s="301">
        <f>表格1[[#This Row],[累計完成]]/表格1[[#This Row],[合計數]]</f>
        <v>0.87387387387387383</v>
      </c>
      <c r="K63" s="315"/>
      <c r="L63" s="278"/>
    </row>
    <row r="64" spans="1:12" ht="15" hidden="1" customHeight="1" x14ac:dyDescent="0.35">
      <c r="A64" s="274">
        <v>44518</v>
      </c>
      <c r="B64" s="299">
        <f>表格1[[#This Row],[日期]]</f>
        <v>44518</v>
      </c>
      <c r="C64" s="300">
        <f>COUNTA(URS確認!E:E)-1</f>
        <v>555</v>
      </c>
      <c r="D64" s="281">
        <f>COUNTIF(URS確認!M:M,"&lt;"&amp;A64+1)</f>
        <v>471</v>
      </c>
      <c r="E64" s="83">
        <f>COUNTIF(URS確認!N:N,"&lt;"&amp;A64+1)</f>
        <v>494</v>
      </c>
      <c r="F64" s="281">
        <f>$D65-$D60</f>
        <v>161</v>
      </c>
      <c r="G64" s="281">
        <f>表格1[[#This Row],[累計完成]]-E60</f>
        <v>127</v>
      </c>
      <c r="H64" s="281" t="str">
        <f>IF(表格1[[#This Row],[本周完成]]&gt;表格1[[#This Row],[本周預計]],"提前",IF(表格1[[#This Row],[本周完成]]&lt;表格1[[#This Row],[本周預計]],"延遲","如期"))</f>
        <v>延遲</v>
      </c>
      <c r="I64" s="301">
        <f>表格1[[#This Row],[累計預估]]/表格1[[#This Row],[合計數]]</f>
        <v>0.84864864864864864</v>
      </c>
      <c r="J64" s="301">
        <f>表格1[[#This Row],[累計完成]]/表格1[[#This Row],[合計數]]</f>
        <v>0.8900900900900901</v>
      </c>
      <c r="K64" s="315"/>
      <c r="L64" s="278"/>
    </row>
    <row r="65" spans="1:12" ht="15" customHeight="1" x14ac:dyDescent="0.35">
      <c r="A65" s="48">
        <v>44519</v>
      </c>
      <c r="B65" s="316">
        <f>表格1[[#This Row],[日期]]</f>
        <v>44519</v>
      </c>
      <c r="C65" s="317">
        <f>COUNTA(URS確認!E:E)-1-9</f>
        <v>546</v>
      </c>
      <c r="D65" s="83">
        <f>COUNTIF(URS確認!M:M,"&lt;"&amp;A65+1)</f>
        <v>494</v>
      </c>
      <c r="E65" s="83">
        <f>COUNTIF(URS確認!N:N,"&lt;"&amp;A65+1)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8">
        <f>表格1[[#This Row],[累計預估]]/表格1[[#This Row],[合計數]]</f>
        <v>0.90476190476190477</v>
      </c>
      <c r="J65" s="318">
        <f>表格1[[#This Row],[累計完成]]/表格1[[#This Row],[合計數]]</f>
        <v>0.90476190476190477</v>
      </c>
      <c r="K65" s="315"/>
      <c r="L65" s="278"/>
    </row>
    <row r="66" spans="1:12" ht="15" hidden="1" customHeight="1" x14ac:dyDescent="0.35">
      <c r="A66" s="274">
        <v>44522</v>
      </c>
      <c r="B66" s="299">
        <f>表格1[[#This Row],[日期]]</f>
        <v>44522</v>
      </c>
      <c r="C66" s="300">
        <f>COUNTA(URS確認!E:E)-1</f>
        <v>555</v>
      </c>
      <c r="D66" s="281">
        <f>COUNTIF(URS確認!M:M,"&lt;"&amp;A66+1)</f>
        <v>494</v>
      </c>
      <c r="E66" s="83">
        <f>COUNTIF(URS確認!N:N,"&lt;"&amp;A66+1)</f>
        <v>496</v>
      </c>
      <c r="F66" s="281">
        <f>D68-D65</f>
        <v>18</v>
      </c>
      <c r="G66" s="281">
        <f>表格1[[#This Row],[累計完成]]-E65</f>
        <v>2</v>
      </c>
      <c r="H66" s="281" t="str">
        <f>IF(表格1[[#This Row],[本周完成]]&gt;表格1[[#This Row],[本周預計]],"提前",IF(表格1[[#This Row],[本周完成]]&lt;表格1[[#This Row],[本周預計]],"延遲","如期"))</f>
        <v>延遲</v>
      </c>
      <c r="I66" s="301">
        <f>表格1[[#This Row],[累計預估]]/表格1[[#This Row],[合計數]]</f>
        <v>0.8900900900900901</v>
      </c>
      <c r="J66" s="301">
        <f>表格1[[#This Row],[累計完成]]/表格1[[#This Row],[合計數]]</f>
        <v>0.89369369369369367</v>
      </c>
      <c r="K66" s="315"/>
      <c r="L66" s="278"/>
    </row>
    <row r="67" spans="1:12" ht="15" hidden="1" customHeight="1" x14ac:dyDescent="0.35">
      <c r="A67" s="274">
        <v>44523</v>
      </c>
      <c r="B67" s="299">
        <f>表格1[[#This Row],[日期]]</f>
        <v>44523</v>
      </c>
      <c r="C67" s="300">
        <f>COUNTA(URS確認!E:E)-1</f>
        <v>555</v>
      </c>
      <c r="D67" s="281">
        <f>COUNTIF(URS確認!M:M,"&lt;"&amp;A67+1)</f>
        <v>497</v>
      </c>
      <c r="E67" s="83">
        <f>COUNTIF(URS確認!N:N,"&lt;"&amp;A67+1)</f>
        <v>496</v>
      </c>
      <c r="F67" s="281">
        <v>29</v>
      </c>
      <c r="G67" s="281">
        <f>表格1[[#This Row],[累計完成]]-E66</f>
        <v>0</v>
      </c>
      <c r="H67" s="281" t="str">
        <f>IF(表格1[[#This Row],[本周完成]]&gt;表格1[[#This Row],[本周預計]],"提前",IF(表格1[[#This Row],[本周完成]]&lt;表格1[[#This Row],[本周預計]],"延遲","如期"))</f>
        <v>延遲</v>
      </c>
      <c r="I67" s="301">
        <f>表格1[[#This Row],[累計預估]]/表格1[[#This Row],[合計數]]</f>
        <v>0.89549549549549545</v>
      </c>
      <c r="J67" s="301">
        <f>表格1[[#This Row],[累計完成]]/表格1[[#This Row],[合計數]]</f>
        <v>0.89369369369369367</v>
      </c>
      <c r="K67" s="315"/>
      <c r="L67" s="278"/>
    </row>
    <row r="68" spans="1:12" ht="15" customHeight="1" x14ac:dyDescent="0.35">
      <c r="A68" s="48">
        <v>44526</v>
      </c>
      <c r="B68" s="316">
        <f>表格1[[#This Row],[日期]]</f>
        <v>44526</v>
      </c>
      <c r="C68" s="317">
        <f>COUNTA(URS確認!E:E)-1-9</f>
        <v>546</v>
      </c>
      <c r="D68" s="83">
        <f>COUNTIF(URS確認!M:M,"&lt;"&amp;A68+1)</f>
        <v>512</v>
      </c>
      <c r="E68" s="83">
        <f>COUNTIF(URS確認!N:N,"&lt;"&amp;A68+1)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8">
        <f>表格1[[#This Row],[累計預估]]/表格1[[#This Row],[合計數]]</f>
        <v>0.93772893772893773</v>
      </c>
      <c r="J68" s="318">
        <f>表格1[[#This Row],[累計完成]]/表格1[[#This Row],[合計數]]</f>
        <v>0.94139194139194138</v>
      </c>
      <c r="K68" s="315"/>
      <c r="L68" s="278"/>
    </row>
    <row r="69" spans="1:12" ht="14.5" x14ac:dyDescent="0.35">
      <c r="A69" s="274">
        <v>44529</v>
      </c>
      <c r="B69" s="299">
        <f>表格1[[#This Row],[日期]]</f>
        <v>44529</v>
      </c>
      <c r="C69" s="300">
        <f>COUNTA(URS確認!E:E)-1-9</f>
        <v>546</v>
      </c>
      <c r="D69" s="362">
        <f>COUNTIF(URS確認!M:M,"&lt;"&amp;A69+1)</f>
        <v>529</v>
      </c>
      <c r="E69" s="366">
        <f>COUNTIF(URS確認!N:N,"&lt;"&amp;A69+1)</f>
        <v>526</v>
      </c>
      <c r="F69" s="362">
        <f>$D$73-$D$68</f>
        <v>38</v>
      </c>
      <c r="G69" s="362">
        <f>表格1[[#This Row],[累計完成]]-$E$68</f>
        <v>12</v>
      </c>
      <c r="H69" s="362"/>
      <c r="I69" s="364">
        <f>表格1[[#This Row],[累計預估]]/表格1[[#This Row],[合計數]]</f>
        <v>0.96886446886446886</v>
      </c>
      <c r="J69" s="364">
        <f>表格1[[#This Row],[累計完成]]/表格1[[#This Row],[合計數]]</f>
        <v>0.96336996336996339</v>
      </c>
      <c r="K69" s="365"/>
    </row>
    <row r="70" spans="1:12" ht="14.5" x14ac:dyDescent="0.35">
      <c r="A70" s="274">
        <v>44530</v>
      </c>
      <c r="B70" s="299">
        <f>表格1[[#This Row],[日期]]</f>
        <v>44530</v>
      </c>
      <c r="C70" s="300">
        <f>COUNTA(URS確認!E:E)-1</f>
        <v>555</v>
      </c>
      <c r="D70" s="362">
        <f>COUNTIF(URS確認!M:M,"&lt;"&amp;A70+1)</f>
        <v>538</v>
      </c>
      <c r="E70" s="366">
        <f>COUNTIF(URS確認!N:N,"&lt;"&amp;A70+1)</f>
        <v>535</v>
      </c>
      <c r="F70" s="362">
        <f t="shared" ref="F70:F73" si="8">$D$73-$D$68</f>
        <v>38</v>
      </c>
      <c r="G70" s="362">
        <f>表格1[[#This Row],[累計完成]]-$E$68</f>
        <v>21</v>
      </c>
      <c r="H70" s="362"/>
      <c r="I70" s="364">
        <f>表格1[[#This Row],[累計預估]]/表格1[[#This Row],[合計數]]</f>
        <v>0.96936936936936935</v>
      </c>
      <c r="J70" s="364">
        <f>表格1[[#This Row],[累計完成]]/表格1[[#This Row],[合計數]]</f>
        <v>0.963963963963964</v>
      </c>
      <c r="K70" s="365"/>
    </row>
    <row r="71" spans="1:12" ht="14.5" x14ac:dyDescent="0.35">
      <c r="A71" s="274">
        <v>44531</v>
      </c>
      <c r="B71" s="299">
        <f>表格1[[#This Row],[日期]]</f>
        <v>44531</v>
      </c>
      <c r="C71" s="300">
        <f>COUNTA(URS確認!E:E)-1</f>
        <v>555</v>
      </c>
      <c r="D71" s="362">
        <f>COUNTIF(URS確認!M:M,"&lt;"&amp;A71+1)</f>
        <v>538</v>
      </c>
      <c r="E71" s="366">
        <f>COUNTIF(URS確認!N:N,"&lt;"&amp;A71+1)</f>
        <v>535</v>
      </c>
      <c r="F71" s="362">
        <f t="shared" si="8"/>
        <v>38</v>
      </c>
      <c r="G71" s="362">
        <f>表格1[[#This Row],[累計完成]]-$E$68</f>
        <v>21</v>
      </c>
      <c r="H71" s="362"/>
      <c r="I71" s="364">
        <f>表格1[[#This Row],[累計預估]]/表格1[[#This Row],[合計數]]</f>
        <v>0.96936936936936935</v>
      </c>
      <c r="J71" s="364">
        <f>表格1[[#This Row],[累計完成]]/表格1[[#This Row],[合計數]]</f>
        <v>0.963963963963964</v>
      </c>
      <c r="K71" s="365"/>
    </row>
    <row r="72" spans="1:12" ht="14.5" x14ac:dyDescent="0.35">
      <c r="A72" s="274">
        <v>44532</v>
      </c>
      <c r="B72" s="299">
        <f>表格1[[#This Row],[日期]]</f>
        <v>44532</v>
      </c>
      <c r="C72" s="300">
        <f>COUNTA(URS確認!E:E)-1</f>
        <v>555</v>
      </c>
      <c r="D72" s="362">
        <f>COUNTIF(URS確認!M:M,"&lt;"&amp;A72+1)</f>
        <v>538</v>
      </c>
      <c r="E72" s="366">
        <f>COUNTIF(URS確認!N:N,"&lt;"&amp;A72+1)</f>
        <v>535</v>
      </c>
      <c r="F72" s="362">
        <f t="shared" si="8"/>
        <v>38</v>
      </c>
      <c r="G72" s="362">
        <f>表格1[[#This Row],[累計完成]]-$E$68</f>
        <v>21</v>
      </c>
      <c r="H72" s="362"/>
      <c r="I72" s="364">
        <f>表格1[[#This Row],[累計預估]]/表格1[[#This Row],[合計數]]</f>
        <v>0.96936936936936935</v>
      </c>
      <c r="J72" s="364">
        <f>表格1[[#This Row],[累計完成]]/表格1[[#This Row],[合計數]]</f>
        <v>0.963963963963964</v>
      </c>
      <c r="K72" s="365"/>
    </row>
    <row r="73" spans="1:12" ht="14.5" x14ac:dyDescent="0.35">
      <c r="A73" s="48">
        <v>44533</v>
      </c>
      <c r="B73" s="316">
        <f>表格1[[#This Row],[日期]]</f>
        <v>44533</v>
      </c>
      <c r="C73" s="317">
        <f>COUNTA(URS確認!E:E)-1</f>
        <v>555</v>
      </c>
      <c r="D73" s="363">
        <f>COUNTIF(URS確認!M:M,"&lt;"&amp;A73+1)</f>
        <v>550</v>
      </c>
      <c r="E73" s="83">
        <f>COUNTIF(URS確認!N:N,"&lt;"&amp;A73+1)</f>
        <v>546</v>
      </c>
      <c r="F73" s="363">
        <f t="shared" si="8"/>
        <v>38</v>
      </c>
      <c r="G73" s="363">
        <f>E73-E68</f>
        <v>32</v>
      </c>
      <c r="H73" s="363" t="str">
        <f>IF(表格1[[#This Row],[本周完成]]&gt;表格1[[#This Row],[本周預計]],"提前",IF(表格1[[#This Row],[本周完成]]&lt;表格1[[#This Row],[本周預計]],"延遲","如期"))</f>
        <v>延遲</v>
      </c>
      <c r="I73" s="318">
        <f>表格1[[#This Row],[累計預估]]/表格1[[#This Row],[合計數]]</f>
        <v>0.99099099099099097</v>
      </c>
      <c r="J73" s="318">
        <f>表格1[[#This Row],[累計完成]]/表格1[[#This Row],[合計數]]</f>
        <v>0.98378378378378384</v>
      </c>
      <c r="K73" s="365"/>
    </row>
    <row r="74" spans="1:12" ht="14.5" x14ac:dyDescent="0.35">
      <c r="A74" s="274">
        <v>44540</v>
      </c>
      <c r="B74" s="299">
        <f>表格1[[#This Row],[日期]]</f>
        <v>44540</v>
      </c>
      <c r="C74" s="300">
        <f>COUNTA(URS確認!E:E)-1</f>
        <v>555</v>
      </c>
      <c r="D74" s="362">
        <f>COUNTIF(URS確認!M:M,"&lt;"&amp;A74+1)</f>
        <v>550</v>
      </c>
      <c r="E74" s="362">
        <v>0</v>
      </c>
      <c r="F74" s="362">
        <v>0</v>
      </c>
      <c r="G74" s="362">
        <v>0</v>
      </c>
      <c r="H74" s="363" t="str">
        <f>IF(表格1[[#This Row],[本周完成]]&gt;表格1[[#This Row],[本周預計]],"提前",IF(表格1[[#This Row],[本周完成]]&lt;表格1[[#This Row],[本周預計]],"延遲","如期"))</f>
        <v>如期</v>
      </c>
      <c r="I74" s="364">
        <f>表格1[[#This Row],[累計預估]]/表格1[[#This Row],[合計數]]</f>
        <v>0.99099099099099097</v>
      </c>
      <c r="J74" s="364">
        <f>表格1[[#This Row],[累計完成]]/表格1[[#This Row],[合計數]]</f>
        <v>0</v>
      </c>
      <c r="K74" s="36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Q227"/>
  <sheetViews>
    <sheetView zoomScale="90" zoomScaleNormal="90" workbookViewId="0">
      <selection activeCell="F76" sqref="F76"/>
    </sheetView>
  </sheetViews>
  <sheetFormatPr defaultRowHeight="14.5" x14ac:dyDescent="0.3"/>
  <cols>
    <col min="1" max="1" width="16.59765625" style="277" bestFit="1" customWidth="1"/>
    <col min="2" max="2" width="23.69921875" style="277" bestFit="1" customWidth="1"/>
    <col min="3" max="3" width="21.5" style="277" bestFit="1" customWidth="1"/>
    <col min="4" max="4" width="23.69921875" style="277" bestFit="1" customWidth="1"/>
    <col min="5" max="5" width="21.5" style="277" bestFit="1" customWidth="1"/>
    <col min="6" max="6" width="23.69921875" style="277" bestFit="1" customWidth="1"/>
    <col min="7" max="7" width="21.5" style="277" bestFit="1" customWidth="1"/>
    <col min="8" max="8" width="23.69921875" style="277" bestFit="1" customWidth="1"/>
    <col min="9" max="9" width="21.5" style="277" bestFit="1" customWidth="1"/>
    <col min="10" max="10" width="23.69921875" style="277" bestFit="1" customWidth="1"/>
    <col min="11" max="11" width="21.5" style="277" bestFit="1" customWidth="1"/>
    <col min="12" max="12" width="23.69921875" style="277" bestFit="1" customWidth="1"/>
    <col min="13" max="13" width="21.5" style="277" bestFit="1" customWidth="1"/>
    <col min="14" max="14" width="23.69921875" style="277" bestFit="1" customWidth="1"/>
    <col min="15" max="15" width="21.5" style="277" bestFit="1" customWidth="1"/>
    <col min="16" max="16" width="23.69921875" style="277" bestFit="1" customWidth="1"/>
    <col min="17" max="17" width="21.5" style="277" bestFit="1" customWidth="1"/>
    <col min="18" max="18" width="23.69921875" style="277" bestFit="1" customWidth="1"/>
    <col min="19" max="19" width="21.5" style="277" bestFit="1" customWidth="1"/>
    <col min="20" max="20" width="23.69921875" style="277" bestFit="1" customWidth="1"/>
    <col min="21" max="21" width="21.5" style="277" bestFit="1" customWidth="1"/>
    <col min="22" max="22" width="23.69921875" style="277" bestFit="1" customWidth="1"/>
    <col min="23" max="23" width="21.5" style="277" bestFit="1" customWidth="1"/>
    <col min="24" max="24" width="23.69921875" style="277" bestFit="1" customWidth="1"/>
    <col min="25" max="25" width="21.5" style="277" bestFit="1" customWidth="1"/>
    <col min="26" max="26" width="23.69921875" bestFit="1" customWidth="1"/>
    <col min="27" max="27" width="21.5" bestFit="1" customWidth="1"/>
    <col min="28" max="28" width="23.69921875" bestFit="1" customWidth="1"/>
    <col min="29" max="29" width="21.5" bestFit="1" customWidth="1"/>
    <col min="30" max="30" width="23.69921875" bestFit="1" customWidth="1"/>
    <col min="31" max="31" width="21.5" bestFit="1" customWidth="1"/>
    <col min="32" max="32" width="23.69921875" bestFit="1" customWidth="1"/>
    <col min="33" max="33" width="21.5" bestFit="1" customWidth="1"/>
    <col min="34" max="34" width="23.69921875" bestFit="1" customWidth="1"/>
    <col min="35" max="35" width="21.5" bestFit="1" customWidth="1"/>
    <col min="36" max="36" width="23.69921875" bestFit="1" customWidth="1"/>
    <col min="37" max="37" width="21.5" bestFit="1" customWidth="1"/>
    <col min="38" max="38" width="23.69921875" bestFit="1" customWidth="1"/>
    <col min="39" max="39" width="21.5" bestFit="1" customWidth="1"/>
    <col min="40" max="40" width="23.69921875" bestFit="1" customWidth="1"/>
    <col min="41" max="41" width="21.5" bestFit="1" customWidth="1"/>
    <col min="42" max="42" width="23.69921875" bestFit="1" customWidth="1"/>
    <col min="43" max="43" width="21.5" bestFit="1" customWidth="1"/>
    <col min="44" max="44" width="23.69921875" bestFit="1" customWidth="1"/>
    <col min="45" max="45" width="21.5" bestFit="1" customWidth="1"/>
    <col min="46" max="46" width="23.69921875" bestFit="1" customWidth="1"/>
    <col min="47" max="47" width="21.5" bestFit="1" customWidth="1"/>
    <col min="48" max="48" width="23.69921875" bestFit="1" customWidth="1"/>
    <col min="49" max="49" width="21.5" bestFit="1" customWidth="1"/>
    <col min="50" max="50" width="23.69921875" bestFit="1" customWidth="1"/>
    <col min="51" max="51" width="21.5" bestFit="1" customWidth="1"/>
    <col min="52" max="52" width="23.69921875" bestFit="1" customWidth="1"/>
    <col min="53" max="53" width="21.5" bestFit="1" customWidth="1"/>
    <col min="54" max="54" width="23.69921875" bestFit="1" customWidth="1"/>
    <col min="55" max="55" width="21.5" bestFit="1" customWidth="1"/>
    <col min="56" max="56" width="23.69921875" bestFit="1" customWidth="1"/>
    <col min="57" max="57" width="21.5" bestFit="1" customWidth="1"/>
    <col min="58" max="58" width="23.69921875" bestFit="1" customWidth="1"/>
    <col min="59" max="59" width="21.5" bestFit="1" customWidth="1"/>
    <col min="60" max="60" width="23.69921875" bestFit="1" customWidth="1"/>
    <col min="61" max="61" width="21.5" bestFit="1" customWidth="1"/>
    <col min="62" max="62" width="23.69921875" bestFit="1" customWidth="1"/>
    <col min="63" max="63" width="21.5" bestFit="1" customWidth="1"/>
    <col min="64" max="64" width="23.69921875" bestFit="1" customWidth="1"/>
    <col min="65" max="65" width="21.5" bestFit="1" customWidth="1"/>
    <col min="66" max="66" width="23.69921875" bestFit="1" customWidth="1"/>
    <col min="67" max="67" width="21.5" bestFit="1" customWidth="1"/>
    <col min="68" max="68" width="23.69921875" bestFit="1" customWidth="1"/>
    <col min="69" max="69" width="21.5" bestFit="1" customWidth="1"/>
    <col min="70" max="70" width="23.69921875" bestFit="1" customWidth="1"/>
    <col min="71" max="71" width="21.5" bestFit="1" customWidth="1"/>
    <col min="72" max="72" width="23.69921875" bestFit="1" customWidth="1"/>
    <col min="73" max="73" width="21.5" bestFit="1" customWidth="1"/>
    <col min="74" max="74" width="23.69921875" bestFit="1" customWidth="1"/>
    <col min="75" max="75" width="21.5" bestFit="1" customWidth="1"/>
    <col min="76" max="76" width="23.69921875" bestFit="1" customWidth="1"/>
    <col min="77" max="77" width="21.5" bestFit="1" customWidth="1"/>
    <col min="78" max="78" width="23.69921875" bestFit="1" customWidth="1"/>
    <col min="79" max="79" width="21.5" bestFit="1" customWidth="1"/>
    <col min="80" max="80" width="23.69921875" bestFit="1" customWidth="1"/>
    <col min="81" max="81" width="21.5" bestFit="1" customWidth="1"/>
    <col min="82" max="82" width="23.69921875" bestFit="1" customWidth="1"/>
    <col min="83" max="83" width="21.5" bestFit="1" customWidth="1"/>
    <col min="84" max="84" width="23.69921875" bestFit="1" customWidth="1"/>
    <col min="85" max="85" width="21.5" bestFit="1" customWidth="1"/>
    <col min="86" max="86" width="23.69921875" bestFit="1" customWidth="1"/>
    <col min="87" max="87" width="21.5" bestFit="1" customWidth="1"/>
    <col min="88" max="88" width="23.69921875" bestFit="1" customWidth="1"/>
    <col min="89" max="89" width="21.5" bestFit="1" customWidth="1"/>
    <col min="90" max="90" width="23.69921875" bestFit="1" customWidth="1"/>
    <col min="91" max="91" width="21.5" bestFit="1" customWidth="1"/>
    <col min="92" max="92" width="23.69921875" bestFit="1" customWidth="1"/>
    <col min="93" max="93" width="21.5" bestFit="1" customWidth="1"/>
    <col min="94" max="94" width="23.69921875" bestFit="1" customWidth="1"/>
    <col min="95" max="95" width="21.5" bestFit="1" customWidth="1"/>
    <col min="96" max="96" width="23.69921875" bestFit="1" customWidth="1"/>
    <col min="97" max="97" width="21.5" bestFit="1" customWidth="1"/>
    <col min="98" max="98" width="23.69921875" bestFit="1" customWidth="1"/>
    <col min="99" max="99" width="21.5" bestFit="1" customWidth="1"/>
    <col min="100" max="100" width="23.69921875" bestFit="1" customWidth="1"/>
    <col min="101" max="101" width="21.5" bestFit="1" customWidth="1"/>
    <col min="102" max="102" width="23.69921875" bestFit="1" customWidth="1"/>
    <col min="103" max="103" width="21.5" bestFit="1" customWidth="1"/>
    <col min="104" max="104" width="23.69921875" bestFit="1" customWidth="1"/>
    <col min="105" max="105" width="21.5" bestFit="1" customWidth="1"/>
    <col min="106" max="106" width="23.69921875" bestFit="1" customWidth="1"/>
    <col min="107" max="107" width="21.5" bestFit="1" customWidth="1"/>
    <col min="108" max="108" width="23.69921875" bestFit="1" customWidth="1"/>
    <col min="109" max="109" width="21.5" bestFit="1" customWidth="1"/>
    <col min="110" max="110" width="23.69921875" bestFit="1" customWidth="1"/>
    <col min="111" max="111" width="21.5" bestFit="1" customWidth="1"/>
    <col min="112" max="112" width="23.69921875" bestFit="1" customWidth="1"/>
    <col min="113" max="113" width="21.5" bestFit="1" customWidth="1"/>
    <col min="114" max="114" width="23.69921875" bestFit="1" customWidth="1"/>
    <col min="115" max="115" width="21.5" bestFit="1" customWidth="1"/>
    <col min="116" max="116" width="23.69921875" bestFit="1" customWidth="1"/>
    <col min="117" max="117" width="21.5" bestFit="1" customWidth="1"/>
    <col min="118" max="118" width="23.69921875" bestFit="1" customWidth="1"/>
    <col min="119" max="119" width="21.5" bestFit="1" customWidth="1"/>
    <col min="120" max="120" width="32.09765625" bestFit="1" customWidth="1"/>
    <col min="121" max="121" width="29.69921875" bestFit="1" customWidth="1"/>
    <col min="122" max="123" width="18.09765625" customWidth="1"/>
    <col min="124" max="124" width="23.69921875" bestFit="1" customWidth="1"/>
    <col min="125" max="126" width="18.09765625" bestFit="1" customWidth="1"/>
    <col min="127" max="127" width="23.69921875" bestFit="1" customWidth="1"/>
    <col min="128" max="128" width="18.09765625" customWidth="1"/>
    <col min="129" max="129" width="18.09765625" bestFit="1" customWidth="1"/>
    <col min="130" max="130" width="23.69921875" bestFit="1" customWidth="1"/>
    <col min="131" max="132" width="18.09765625" bestFit="1" customWidth="1"/>
    <col min="133" max="133" width="23.69921875" bestFit="1" customWidth="1"/>
    <col min="134" max="135" width="18.09765625" bestFit="1" customWidth="1"/>
    <col min="136" max="136" width="23.69921875" bestFit="1" customWidth="1"/>
    <col min="137" max="138" width="18.09765625" bestFit="1" customWidth="1"/>
    <col min="139" max="139" width="23.69921875" bestFit="1" customWidth="1"/>
    <col min="140" max="141" width="18.09765625" bestFit="1" customWidth="1"/>
    <col min="142" max="142" width="23.69921875" bestFit="1" customWidth="1"/>
    <col min="143" max="144" width="18.09765625" customWidth="1"/>
    <col min="145" max="145" width="23.69921875" bestFit="1" customWidth="1"/>
    <col min="146" max="146" width="18.09765625" bestFit="1" customWidth="1"/>
    <col min="147" max="147" width="18.09765625" customWidth="1"/>
    <col min="148" max="148" width="23.69921875" bestFit="1" customWidth="1"/>
    <col min="149" max="150" width="18.09765625" bestFit="1" customWidth="1"/>
    <col min="151" max="151" width="23.69921875" bestFit="1" customWidth="1"/>
    <col min="152" max="153" width="18.09765625" bestFit="1" customWidth="1"/>
    <col min="154" max="154" width="23.69921875" bestFit="1" customWidth="1"/>
    <col min="155" max="156" width="18.09765625" bestFit="1" customWidth="1"/>
    <col min="157" max="157" width="23.69921875" bestFit="1" customWidth="1"/>
    <col min="158" max="158" width="18.09765625" customWidth="1"/>
    <col min="159" max="159" width="18.09765625" bestFit="1" customWidth="1"/>
    <col min="160" max="160" width="23.69921875" bestFit="1" customWidth="1"/>
    <col min="161" max="162" width="18.09765625" bestFit="1" customWidth="1"/>
    <col min="163" max="163" width="23.69921875" bestFit="1" customWidth="1"/>
    <col min="164" max="164" width="18.09765625" customWidth="1"/>
    <col min="165" max="165" width="18.09765625" bestFit="1" customWidth="1"/>
    <col min="166" max="166" width="23.69921875" bestFit="1" customWidth="1"/>
    <col min="167" max="167" width="18.09765625" bestFit="1" customWidth="1"/>
    <col min="168" max="168" width="18.09765625" customWidth="1"/>
    <col min="169" max="169" width="23.69921875" bestFit="1" customWidth="1"/>
    <col min="170" max="171" width="18.09765625" bestFit="1" customWidth="1"/>
    <col min="172" max="172" width="23.69921875" bestFit="1" customWidth="1"/>
    <col min="173" max="174" width="18.09765625" bestFit="1" customWidth="1"/>
    <col min="175" max="175" width="23.69921875" bestFit="1" customWidth="1"/>
    <col min="176" max="177" width="18.09765625" bestFit="1" customWidth="1"/>
    <col min="178" max="178" width="23.69921875" bestFit="1" customWidth="1"/>
    <col min="179" max="180" width="26.19921875" bestFit="1" customWidth="1"/>
    <col min="181" max="181" width="32.09765625" bestFit="1" customWidth="1"/>
    <col min="182" max="182" width="18.09765625" customWidth="1"/>
    <col min="183" max="183" width="18.09765625" bestFit="1" customWidth="1"/>
    <col min="184" max="184" width="18.09765625" customWidth="1"/>
    <col min="185" max="185" width="23.69921875" bestFit="1" customWidth="1"/>
    <col min="186" max="188" width="18.09765625" bestFit="1" customWidth="1"/>
    <col min="189" max="189" width="23.69921875" bestFit="1" customWidth="1"/>
    <col min="190" max="191" width="18.09765625" bestFit="1" customWidth="1"/>
    <col min="192" max="192" width="18.09765625" customWidth="1"/>
    <col min="193" max="193" width="23.69921875" bestFit="1" customWidth="1"/>
    <col min="194" max="196" width="18.09765625" bestFit="1" customWidth="1"/>
    <col min="197" max="197" width="23.69921875" bestFit="1" customWidth="1"/>
    <col min="198" max="199" width="18.09765625" customWidth="1"/>
    <col min="200" max="200" width="18.09765625" bestFit="1" customWidth="1"/>
    <col min="201" max="201" width="23.69921875" bestFit="1" customWidth="1"/>
    <col min="202" max="202" width="18.09765625" bestFit="1" customWidth="1"/>
    <col min="203" max="203" width="18.09765625" customWidth="1"/>
    <col min="204" max="204" width="18.09765625" bestFit="1" customWidth="1"/>
    <col min="205" max="205" width="23.69921875" bestFit="1" customWidth="1"/>
    <col min="206" max="206" width="18.09765625" bestFit="1" customWidth="1"/>
    <col min="207" max="207" width="18.09765625" customWidth="1"/>
    <col min="208" max="208" width="18.09765625" bestFit="1" customWidth="1"/>
    <col min="209" max="209" width="23.69921875" bestFit="1" customWidth="1"/>
    <col min="210" max="211" width="18.09765625" bestFit="1" customWidth="1"/>
    <col min="212" max="212" width="18.09765625" customWidth="1"/>
    <col min="213" max="213" width="23.69921875" bestFit="1" customWidth="1"/>
    <col min="214" max="214" width="18.09765625" customWidth="1"/>
    <col min="215" max="216" width="18.09765625" bestFit="1" customWidth="1"/>
    <col min="217" max="217" width="23.69921875" bestFit="1" customWidth="1"/>
    <col min="218" max="218" width="18.09765625" bestFit="1" customWidth="1"/>
    <col min="219" max="219" width="18.09765625" customWidth="1"/>
    <col min="220" max="220" width="18.09765625" bestFit="1" customWidth="1"/>
    <col min="221" max="221" width="23.69921875" bestFit="1" customWidth="1"/>
    <col min="222" max="223" width="18.09765625" bestFit="1" customWidth="1"/>
    <col min="224" max="224" width="18.09765625" customWidth="1"/>
    <col min="225" max="225" width="23.69921875" bestFit="1" customWidth="1"/>
    <col min="226" max="226" width="18.09765625" bestFit="1" customWidth="1"/>
    <col min="227" max="228" width="18.09765625" customWidth="1"/>
    <col min="229" max="229" width="23.69921875" bestFit="1" customWidth="1"/>
    <col min="230" max="232" width="18.09765625" bestFit="1" customWidth="1"/>
    <col min="233" max="233" width="23.69921875" bestFit="1" customWidth="1"/>
    <col min="234" max="234" width="18.09765625" customWidth="1"/>
    <col min="235" max="236" width="18.09765625" bestFit="1" customWidth="1"/>
    <col min="237" max="237" width="23.69921875" bestFit="1" customWidth="1"/>
    <col min="238" max="240" width="26.19921875" bestFit="1" customWidth="1"/>
    <col min="241" max="241" width="32.09765625" bestFit="1" customWidth="1"/>
    <col min="242" max="242" width="18.09765625" customWidth="1"/>
    <col min="243" max="244" width="18.09765625" bestFit="1" customWidth="1"/>
    <col min="245" max="245" width="23.69921875" bestFit="1" customWidth="1"/>
    <col min="246" max="246" width="17.69921875" customWidth="1"/>
    <col min="247" max="249" width="18.09765625" customWidth="1"/>
    <col min="250" max="250" width="23.69921875" bestFit="1" customWidth="1"/>
    <col min="251" max="251" width="17.69921875" bestFit="1" customWidth="1"/>
    <col min="252" max="252" width="18.09765625" customWidth="1"/>
    <col min="253" max="253" width="18.09765625" bestFit="1" customWidth="1"/>
    <col min="254" max="254" width="18.09765625" customWidth="1"/>
    <col min="255" max="255" width="23.69921875" bestFit="1" customWidth="1"/>
    <col min="256" max="256" width="17.69921875" bestFit="1" customWidth="1"/>
    <col min="257" max="258" width="18.09765625" bestFit="1" customWidth="1"/>
    <col min="259" max="259" width="18.09765625" customWidth="1"/>
    <col min="260" max="260" width="23.69921875" bestFit="1" customWidth="1"/>
    <col min="261" max="261" width="17.69921875" bestFit="1" customWidth="1"/>
    <col min="262" max="263" width="18.09765625" customWidth="1"/>
    <col min="264" max="264" width="18.09765625" bestFit="1" customWidth="1"/>
    <col min="265" max="265" width="23.69921875" bestFit="1" customWidth="1"/>
    <col min="266" max="266" width="17.69921875" bestFit="1" customWidth="1"/>
    <col min="267" max="267" width="18.09765625" bestFit="1" customWidth="1"/>
    <col min="268" max="269" width="18.09765625" customWidth="1"/>
    <col min="270" max="270" width="23.69921875" bestFit="1" customWidth="1"/>
    <col min="271" max="271" width="17.69921875" bestFit="1" customWidth="1"/>
    <col min="272" max="272" width="18.09765625" bestFit="1" customWidth="1"/>
    <col min="273" max="273" width="18.09765625" customWidth="1"/>
    <col min="274" max="274" width="18.09765625" bestFit="1" customWidth="1"/>
    <col min="275" max="275" width="23.69921875" bestFit="1" customWidth="1"/>
    <col min="276" max="276" width="17.69921875" bestFit="1" customWidth="1"/>
    <col min="277" max="277" width="18.09765625" customWidth="1"/>
    <col min="278" max="279" width="18.09765625" bestFit="1" customWidth="1"/>
    <col min="280" max="280" width="23.69921875" bestFit="1" customWidth="1"/>
    <col min="281" max="281" width="17.69921875" customWidth="1"/>
    <col min="282" max="284" width="18.09765625" customWidth="1"/>
    <col min="285" max="285" width="23.69921875" bestFit="1" customWidth="1"/>
    <col min="286" max="286" width="17.69921875" bestFit="1" customWidth="1"/>
    <col min="287" max="287" width="18.09765625" customWidth="1"/>
    <col min="288" max="288" width="18.09765625" bestFit="1" customWidth="1"/>
    <col min="289" max="289" width="18.09765625" customWidth="1"/>
    <col min="290" max="290" width="23.69921875" bestFit="1" customWidth="1"/>
    <col min="291" max="291" width="17.69921875" bestFit="1" customWidth="1"/>
    <col min="292" max="293" width="18.09765625" bestFit="1" customWidth="1"/>
    <col min="294" max="294" width="18.09765625" customWidth="1"/>
    <col min="295" max="295" width="23.69921875" bestFit="1" customWidth="1"/>
    <col min="296" max="296" width="17.69921875" bestFit="1" customWidth="1"/>
    <col min="297" max="299" width="26.19921875" bestFit="1" customWidth="1"/>
    <col min="300" max="300" width="32.09765625" bestFit="1" customWidth="1"/>
    <col min="301" max="301" width="26" bestFit="1" customWidth="1"/>
    <col min="302" max="302" width="17.69921875" customWidth="1"/>
    <col min="303" max="305" width="18.09765625" customWidth="1"/>
    <col min="306" max="306" width="23.69921875" customWidth="1"/>
    <col min="307" max="307" width="27.19921875" customWidth="1"/>
    <col min="308" max="308" width="18.09765625" customWidth="1"/>
    <col min="309" max="309" width="17.69921875" customWidth="1"/>
    <col min="310" max="312" width="18.09765625" customWidth="1"/>
    <col min="313" max="313" width="23.69921875" customWidth="1"/>
    <col min="314" max="314" width="27.19921875" customWidth="1"/>
    <col min="315" max="315" width="18.09765625" customWidth="1"/>
    <col min="316" max="316" width="17.69921875" customWidth="1"/>
    <col min="317" max="319" width="18.09765625" customWidth="1"/>
    <col min="320" max="320" width="23.69921875" customWidth="1"/>
    <col min="321" max="321" width="27.19921875" customWidth="1"/>
    <col min="322" max="322" width="18.09765625" customWidth="1"/>
    <col min="323" max="323" width="17.69921875" customWidth="1"/>
    <col min="324" max="326" width="18.09765625" customWidth="1"/>
    <col min="327" max="327" width="23.69921875" customWidth="1"/>
    <col min="328" max="328" width="27.19921875" customWidth="1"/>
    <col min="329" max="329" width="18.09765625" customWidth="1"/>
    <col min="330" max="330" width="17.69921875" customWidth="1"/>
    <col min="331" max="333" width="18.09765625" customWidth="1"/>
    <col min="334" max="334" width="23.69921875" customWidth="1"/>
    <col min="335" max="335" width="27.19921875" customWidth="1"/>
    <col min="336" max="336" width="18.09765625" customWidth="1"/>
    <col min="337" max="337" width="17.69921875" customWidth="1"/>
    <col min="338" max="340" width="18.09765625" customWidth="1"/>
    <col min="341" max="341" width="23.69921875" customWidth="1"/>
    <col min="342" max="342" width="27.19921875" customWidth="1"/>
    <col min="343" max="343" width="18.09765625" customWidth="1"/>
    <col min="344" max="344" width="17.69921875" customWidth="1"/>
    <col min="345" max="347" width="18.09765625" customWidth="1"/>
    <col min="348" max="348" width="23.69921875" customWidth="1"/>
    <col min="349" max="349" width="27.19921875" customWidth="1"/>
    <col min="350" max="350" width="18.09765625" customWidth="1"/>
    <col min="351" max="351" width="17.69921875" customWidth="1"/>
    <col min="352" max="354" width="18.09765625" customWidth="1"/>
    <col min="355" max="355" width="23.69921875" customWidth="1"/>
    <col min="356" max="356" width="27.19921875" customWidth="1"/>
    <col min="357" max="357" width="18.09765625" customWidth="1"/>
    <col min="358" max="358" width="17.69921875" customWidth="1"/>
    <col min="359" max="361" width="18.09765625" customWidth="1"/>
    <col min="362" max="362" width="23.69921875" customWidth="1"/>
    <col min="363" max="363" width="27.19921875" customWidth="1"/>
    <col min="364" max="364" width="18.09765625" customWidth="1"/>
    <col min="365" max="365" width="17.69921875" customWidth="1"/>
    <col min="366" max="368" width="18.09765625" customWidth="1"/>
    <col min="369" max="369" width="23.69921875" customWidth="1"/>
    <col min="370" max="370" width="27.19921875" customWidth="1"/>
    <col min="371" max="371" width="18.09765625" customWidth="1"/>
    <col min="372" max="372" width="17.69921875" customWidth="1"/>
    <col min="373" max="375" width="18.09765625" customWidth="1"/>
    <col min="376" max="376" width="23.69921875" customWidth="1"/>
    <col min="377" max="377" width="27.19921875" customWidth="1"/>
    <col min="378" max="378" width="18.09765625" customWidth="1"/>
    <col min="379" max="379" width="17.69921875" customWidth="1"/>
    <col min="380" max="382" width="18.09765625" customWidth="1"/>
    <col min="383" max="383" width="23.69921875" customWidth="1"/>
    <col min="384" max="384" width="27.19921875" customWidth="1"/>
    <col min="385" max="385" width="18.09765625" customWidth="1"/>
    <col min="386" max="386" width="17.69921875" customWidth="1"/>
    <col min="387" max="389" width="18.09765625" customWidth="1"/>
    <col min="390" max="390" width="23.69921875" customWidth="1"/>
    <col min="391" max="391" width="27.19921875" customWidth="1"/>
    <col min="392" max="392" width="18.09765625" customWidth="1"/>
    <col min="393" max="393" width="17.69921875" customWidth="1"/>
    <col min="394" max="396" width="18.09765625" customWidth="1"/>
    <col min="397" max="397" width="23.69921875" customWidth="1"/>
    <col min="398" max="398" width="27.19921875" customWidth="1"/>
    <col min="399" max="399" width="18.09765625" customWidth="1"/>
    <col min="400" max="400" width="17.69921875" customWidth="1"/>
    <col min="401" max="403" width="18.09765625" customWidth="1"/>
    <col min="404" max="404" width="23.69921875" customWidth="1"/>
    <col min="405" max="405" width="27.19921875" customWidth="1"/>
    <col min="406" max="406" width="18.09765625" customWidth="1"/>
    <col min="407" max="407" width="17.69921875" customWidth="1"/>
    <col min="408" max="408" width="21.09765625" customWidth="1"/>
    <col min="409" max="410" width="18.09765625" customWidth="1"/>
    <col min="411" max="411" width="23.69921875" customWidth="1"/>
    <col min="412" max="412" width="27.19921875" customWidth="1"/>
    <col min="413" max="413" width="18.09765625" customWidth="1"/>
    <col min="414" max="414" width="17.69921875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121" x14ac:dyDescent="0.3">
      <c r="A3"/>
      <c r="B3" s="259" t="s">
        <v>75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 x14ac:dyDescent="0.3">
      <c r="A4"/>
      <c r="B4" s="264">
        <v>44399</v>
      </c>
      <c r="C4"/>
      <c r="D4" s="264">
        <v>44403</v>
      </c>
      <c r="E4"/>
      <c r="F4" s="264">
        <v>44461</v>
      </c>
      <c r="G4"/>
      <c r="H4" s="264">
        <v>44404</v>
      </c>
      <c r="I4"/>
      <c r="J4" s="264">
        <v>44431</v>
      </c>
      <c r="K4"/>
      <c r="L4" s="264">
        <v>44432</v>
      </c>
      <c r="M4"/>
      <c r="N4" s="264">
        <v>44433</v>
      </c>
      <c r="O4"/>
      <c r="P4" s="264">
        <v>44434</v>
      </c>
      <c r="Q4"/>
      <c r="R4" s="264">
        <v>44435</v>
      </c>
      <c r="S4"/>
      <c r="T4" s="264">
        <v>44438</v>
      </c>
      <c r="U4"/>
      <c r="V4" s="264">
        <v>44439</v>
      </c>
      <c r="W4"/>
      <c r="X4" s="264">
        <v>44440</v>
      </c>
      <c r="Y4"/>
      <c r="Z4" s="264">
        <v>44441</v>
      </c>
      <c r="AB4" s="264">
        <v>44442</v>
      </c>
      <c r="AD4" s="264">
        <v>44447</v>
      </c>
      <c r="AF4" s="264">
        <v>44448</v>
      </c>
      <c r="AH4" s="264">
        <v>44452</v>
      </c>
      <c r="AJ4" s="264">
        <v>44481</v>
      </c>
      <c r="AL4" s="264">
        <v>44453</v>
      </c>
      <c r="AN4" s="264">
        <v>44455</v>
      </c>
      <c r="AP4" s="264">
        <v>44456</v>
      </c>
      <c r="AR4" s="264">
        <v>44462</v>
      </c>
      <c r="AT4" s="264">
        <v>44467</v>
      </c>
      <c r="AV4" s="264">
        <v>44463</v>
      </c>
      <c r="AX4" s="264">
        <v>44466</v>
      </c>
      <c r="AZ4" s="264">
        <v>44515</v>
      </c>
      <c r="BB4" s="264">
        <v>44516</v>
      </c>
      <c r="BD4" s="264">
        <v>44468</v>
      </c>
      <c r="BF4" s="264">
        <v>44469</v>
      </c>
      <c r="BH4" s="264">
        <v>44473</v>
      </c>
      <c r="BJ4" s="264">
        <v>44470</v>
      </c>
      <c r="BL4" s="264">
        <v>44491</v>
      </c>
      <c r="BN4" s="264">
        <v>44474</v>
      </c>
      <c r="BP4" s="264">
        <v>44475</v>
      </c>
      <c r="BR4" s="264">
        <v>44482</v>
      </c>
      <c r="BT4" s="264">
        <v>44487</v>
      </c>
      <c r="BV4" s="264">
        <v>44488</v>
      </c>
      <c r="BX4" s="264">
        <v>44490</v>
      </c>
      <c r="BZ4" s="264">
        <v>44489</v>
      </c>
      <c r="CB4" s="264">
        <v>44494</v>
      </c>
      <c r="CD4" s="264">
        <v>44496</v>
      </c>
      <c r="CF4" s="264">
        <v>44497</v>
      </c>
      <c r="CH4" s="264">
        <v>44502</v>
      </c>
      <c r="CJ4" s="264">
        <v>44524</v>
      </c>
      <c r="CL4" s="264">
        <v>44503</v>
      </c>
      <c r="CN4" s="264">
        <v>44498</v>
      </c>
      <c r="CP4" s="264">
        <v>44504</v>
      </c>
      <c r="CR4" s="264">
        <v>44505</v>
      </c>
      <c r="CT4" s="264">
        <v>44396</v>
      </c>
      <c r="CV4" s="264">
        <v>44397</v>
      </c>
      <c r="CX4" s="264">
        <v>44398</v>
      </c>
      <c r="CZ4" s="264">
        <v>44518</v>
      </c>
      <c r="DB4" s="264">
        <v>44517</v>
      </c>
      <c r="DD4" s="264">
        <v>44523</v>
      </c>
      <c r="DF4" s="264">
        <v>44519</v>
      </c>
      <c r="DH4" s="264">
        <v>44529</v>
      </c>
      <c r="DJ4" s="264">
        <v>44530</v>
      </c>
      <c r="DL4" s="264">
        <v>44533</v>
      </c>
      <c r="DN4" s="277" t="s">
        <v>86</v>
      </c>
      <c r="DP4" s="277" t="s">
        <v>2424</v>
      </c>
      <c r="DQ4" s="277" t="s">
        <v>2966</v>
      </c>
    </row>
    <row r="5" spans="1:121" x14ac:dyDescent="0.3">
      <c r="A5" s="259" t="s">
        <v>76</v>
      </c>
      <c r="B5" s="277" t="s">
        <v>2425</v>
      </c>
      <c r="C5" s="277" t="s">
        <v>2967</v>
      </c>
      <c r="D5" s="277" t="s">
        <v>2425</v>
      </c>
      <c r="E5" s="277" t="s">
        <v>2967</v>
      </c>
      <c r="F5" s="277" t="s">
        <v>2425</v>
      </c>
      <c r="G5" s="277" t="s">
        <v>2967</v>
      </c>
      <c r="H5" s="277" t="s">
        <v>2425</v>
      </c>
      <c r="I5" s="277" t="s">
        <v>2967</v>
      </c>
      <c r="J5" s="277" t="s">
        <v>2425</v>
      </c>
      <c r="K5" s="277" t="s">
        <v>2967</v>
      </c>
      <c r="L5" s="277" t="s">
        <v>2425</v>
      </c>
      <c r="M5" s="277" t="s">
        <v>2967</v>
      </c>
      <c r="N5" s="277" t="s">
        <v>2425</v>
      </c>
      <c r="O5" s="277" t="s">
        <v>2967</v>
      </c>
      <c r="P5" s="277" t="s">
        <v>2425</v>
      </c>
      <c r="Q5" s="277" t="s">
        <v>2967</v>
      </c>
      <c r="R5" s="277" t="s">
        <v>2425</v>
      </c>
      <c r="S5" s="277" t="s">
        <v>2967</v>
      </c>
      <c r="T5" s="277" t="s">
        <v>2425</v>
      </c>
      <c r="U5" s="277" t="s">
        <v>2967</v>
      </c>
      <c r="V5" s="277" t="s">
        <v>2425</v>
      </c>
      <c r="W5" s="277" t="s">
        <v>2967</v>
      </c>
      <c r="X5" s="277" t="s">
        <v>2425</v>
      </c>
      <c r="Y5" s="277" t="s">
        <v>2967</v>
      </c>
      <c r="Z5" s="277" t="s">
        <v>2425</v>
      </c>
      <c r="AA5" s="277" t="s">
        <v>2967</v>
      </c>
      <c r="AB5" s="277" t="s">
        <v>2425</v>
      </c>
      <c r="AC5" s="277" t="s">
        <v>2967</v>
      </c>
      <c r="AD5" s="277" t="s">
        <v>2425</v>
      </c>
      <c r="AE5" s="277" t="s">
        <v>2967</v>
      </c>
      <c r="AF5" s="277" t="s">
        <v>2425</v>
      </c>
      <c r="AG5" s="277" t="s">
        <v>2967</v>
      </c>
      <c r="AH5" s="277" t="s">
        <v>2425</v>
      </c>
      <c r="AI5" s="277" t="s">
        <v>2967</v>
      </c>
      <c r="AJ5" s="277" t="s">
        <v>2425</v>
      </c>
      <c r="AK5" s="277" t="s">
        <v>2967</v>
      </c>
      <c r="AL5" s="277" t="s">
        <v>2425</v>
      </c>
      <c r="AM5" s="277" t="s">
        <v>2967</v>
      </c>
      <c r="AN5" s="277" t="s">
        <v>2425</v>
      </c>
      <c r="AO5" s="277" t="s">
        <v>2967</v>
      </c>
      <c r="AP5" s="277" t="s">
        <v>2425</v>
      </c>
      <c r="AQ5" s="277" t="s">
        <v>2967</v>
      </c>
      <c r="AR5" s="277" t="s">
        <v>2425</v>
      </c>
      <c r="AS5" s="277" t="s">
        <v>2967</v>
      </c>
      <c r="AT5" s="277" t="s">
        <v>2425</v>
      </c>
      <c r="AU5" s="277" t="s">
        <v>2967</v>
      </c>
      <c r="AV5" s="277" t="s">
        <v>2425</v>
      </c>
      <c r="AW5" s="277" t="s">
        <v>2967</v>
      </c>
      <c r="AX5" s="277" t="s">
        <v>2425</v>
      </c>
      <c r="AY5" s="277" t="s">
        <v>2967</v>
      </c>
      <c r="AZ5" s="277" t="s">
        <v>2425</v>
      </c>
      <c r="BA5" s="277" t="s">
        <v>2967</v>
      </c>
      <c r="BB5" s="277" t="s">
        <v>2425</v>
      </c>
      <c r="BC5" s="277" t="s">
        <v>2967</v>
      </c>
      <c r="BD5" s="277" t="s">
        <v>2425</v>
      </c>
      <c r="BE5" s="277" t="s">
        <v>2967</v>
      </c>
      <c r="BF5" s="277" t="s">
        <v>2425</v>
      </c>
      <c r="BG5" s="277" t="s">
        <v>2967</v>
      </c>
      <c r="BH5" s="277" t="s">
        <v>2425</v>
      </c>
      <c r="BI5" s="277" t="s">
        <v>2967</v>
      </c>
      <c r="BJ5" s="277" t="s">
        <v>2425</v>
      </c>
      <c r="BK5" s="277" t="s">
        <v>2967</v>
      </c>
      <c r="BL5" s="277" t="s">
        <v>2425</v>
      </c>
      <c r="BM5" s="277" t="s">
        <v>2967</v>
      </c>
      <c r="BN5" s="277" t="s">
        <v>2425</v>
      </c>
      <c r="BO5" s="277" t="s">
        <v>2967</v>
      </c>
      <c r="BP5" s="277" t="s">
        <v>2425</v>
      </c>
      <c r="BQ5" s="277" t="s">
        <v>2967</v>
      </c>
      <c r="BR5" s="277" t="s">
        <v>2425</v>
      </c>
      <c r="BS5" s="277" t="s">
        <v>2967</v>
      </c>
      <c r="BT5" s="277" t="s">
        <v>2425</v>
      </c>
      <c r="BU5" s="277" t="s">
        <v>2967</v>
      </c>
      <c r="BV5" s="277" t="s">
        <v>2425</v>
      </c>
      <c r="BW5" s="277" t="s">
        <v>2967</v>
      </c>
      <c r="BX5" s="277" t="s">
        <v>2425</v>
      </c>
      <c r="BY5" s="277" t="s">
        <v>2967</v>
      </c>
      <c r="BZ5" s="277" t="s">
        <v>2425</v>
      </c>
      <c r="CA5" s="277" t="s">
        <v>2967</v>
      </c>
      <c r="CB5" s="277" t="s">
        <v>2425</v>
      </c>
      <c r="CC5" s="277" t="s">
        <v>2967</v>
      </c>
      <c r="CD5" s="277" t="s">
        <v>2425</v>
      </c>
      <c r="CE5" s="277" t="s">
        <v>2967</v>
      </c>
      <c r="CF5" s="277" t="s">
        <v>2425</v>
      </c>
      <c r="CG5" s="277" t="s">
        <v>2967</v>
      </c>
      <c r="CH5" s="277" t="s">
        <v>2425</v>
      </c>
      <c r="CI5" s="277" t="s">
        <v>2967</v>
      </c>
      <c r="CJ5" s="277" t="s">
        <v>2425</v>
      </c>
      <c r="CK5" s="277" t="s">
        <v>2967</v>
      </c>
      <c r="CL5" s="277" t="s">
        <v>2425</v>
      </c>
      <c r="CM5" s="277" t="s">
        <v>2967</v>
      </c>
      <c r="CN5" s="277" t="s">
        <v>2425</v>
      </c>
      <c r="CO5" s="277" t="s">
        <v>2967</v>
      </c>
      <c r="CP5" s="277" t="s">
        <v>2425</v>
      </c>
      <c r="CQ5" s="277" t="s">
        <v>2967</v>
      </c>
      <c r="CR5" s="277" t="s">
        <v>2425</v>
      </c>
      <c r="CS5" s="277" t="s">
        <v>2967</v>
      </c>
      <c r="CT5" s="277" t="s">
        <v>2425</v>
      </c>
      <c r="CU5" s="277" t="s">
        <v>2967</v>
      </c>
      <c r="CV5" s="277" t="s">
        <v>2425</v>
      </c>
      <c r="CW5" s="277" t="s">
        <v>2967</v>
      </c>
      <c r="CX5" s="277" t="s">
        <v>2425</v>
      </c>
      <c r="CY5" s="277" t="s">
        <v>2967</v>
      </c>
      <c r="CZ5" s="277" t="s">
        <v>2425</v>
      </c>
      <c r="DA5" s="277" t="s">
        <v>2967</v>
      </c>
      <c r="DB5" s="277" t="s">
        <v>2425</v>
      </c>
      <c r="DC5" s="277" t="s">
        <v>2967</v>
      </c>
      <c r="DD5" s="277" t="s">
        <v>2425</v>
      </c>
      <c r="DE5" s="277" t="s">
        <v>2967</v>
      </c>
      <c r="DF5" s="277" t="s">
        <v>2425</v>
      </c>
      <c r="DG5" s="277" t="s">
        <v>2967</v>
      </c>
      <c r="DH5" s="277" t="s">
        <v>2425</v>
      </c>
      <c r="DI5" s="277" t="s">
        <v>2967</v>
      </c>
      <c r="DJ5" s="277" t="s">
        <v>2425</v>
      </c>
      <c r="DK5" s="277" t="s">
        <v>2967</v>
      </c>
      <c r="DL5" s="277" t="s">
        <v>2425</v>
      </c>
      <c r="DM5" s="277" t="s">
        <v>2967</v>
      </c>
      <c r="DN5" s="277" t="s">
        <v>2425</v>
      </c>
      <c r="DO5" s="277" t="s">
        <v>2967</v>
      </c>
    </row>
    <row r="6" spans="1:121" x14ac:dyDescent="0.3">
      <c r="A6" s="260" t="s">
        <v>77</v>
      </c>
      <c r="B6" s="367">
        <v>8</v>
      </c>
      <c r="C6" s="367">
        <v>8</v>
      </c>
      <c r="D6" s="367">
        <v>4</v>
      </c>
      <c r="E6" s="367">
        <v>4</v>
      </c>
      <c r="F6" s="367">
        <v>3</v>
      </c>
      <c r="G6" s="367">
        <v>3</v>
      </c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  <c r="S6" s="367"/>
      <c r="T6" s="367"/>
      <c r="U6" s="367"/>
      <c r="V6" s="367"/>
      <c r="W6" s="367"/>
      <c r="X6" s="367"/>
      <c r="Y6" s="367"/>
      <c r="Z6" s="367"/>
      <c r="AA6" s="367"/>
      <c r="AB6" s="367"/>
      <c r="AC6" s="367"/>
      <c r="AD6" s="367"/>
      <c r="AE6" s="367"/>
      <c r="AF6" s="367"/>
      <c r="AG6" s="367"/>
      <c r="AH6" s="367"/>
      <c r="AI6" s="367"/>
      <c r="AJ6" s="367"/>
      <c r="AK6" s="367"/>
      <c r="AL6" s="367"/>
      <c r="AM6" s="367"/>
      <c r="AN6" s="367"/>
      <c r="AO6" s="367"/>
      <c r="AP6" s="367"/>
      <c r="AQ6" s="367"/>
      <c r="AR6" s="367"/>
      <c r="AS6" s="367"/>
      <c r="AT6" s="367"/>
      <c r="AU6" s="367"/>
      <c r="AV6" s="367"/>
      <c r="AW6" s="367"/>
      <c r="AX6" s="367"/>
      <c r="AY6" s="367"/>
      <c r="AZ6" s="367"/>
      <c r="BA6" s="367"/>
      <c r="BB6" s="367"/>
      <c r="BC6" s="367"/>
      <c r="BD6" s="367"/>
      <c r="BE6" s="367"/>
      <c r="BF6" s="367"/>
      <c r="BG6" s="367"/>
      <c r="BH6" s="367"/>
      <c r="BI6" s="367"/>
      <c r="BJ6" s="367"/>
      <c r="BK6" s="367"/>
      <c r="BL6" s="367"/>
      <c r="BM6" s="367"/>
      <c r="BN6" s="367"/>
      <c r="BO6" s="367"/>
      <c r="BP6" s="367"/>
      <c r="BQ6" s="367"/>
      <c r="BR6" s="367"/>
      <c r="BS6" s="367"/>
      <c r="BT6" s="367"/>
      <c r="BU6" s="367"/>
      <c r="BV6" s="367"/>
      <c r="BW6" s="367"/>
      <c r="BX6" s="367"/>
      <c r="BY6" s="367"/>
      <c r="BZ6" s="367"/>
      <c r="CA6" s="367"/>
      <c r="CB6" s="367"/>
      <c r="CC6" s="367"/>
      <c r="CD6" s="367"/>
      <c r="CE6" s="367"/>
      <c r="CF6" s="367"/>
      <c r="CG6" s="367"/>
      <c r="CH6" s="367"/>
      <c r="CI6" s="367"/>
      <c r="CJ6" s="367"/>
      <c r="CK6" s="367"/>
      <c r="CL6" s="367"/>
      <c r="CM6" s="367"/>
      <c r="CN6" s="367"/>
      <c r="CO6" s="367"/>
      <c r="CP6" s="367"/>
      <c r="CQ6" s="367"/>
      <c r="CR6" s="367"/>
      <c r="CS6" s="367"/>
      <c r="CT6" s="367"/>
      <c r="CU6" s="367"/>
      <c r="CV6" s="367"/>
      <c r="CW6" s="367"/>
      <c r="CX6" s="367"/>
      <c r="CY6" s="367"/>
      <c r="CZ6" s="367"/>
      <c r="DA6" s="367"/>
      <c r="DB6" s="367"/>
      <c r="DC6" s="367"/>
      <c r="DD6" s="367"/>
      <c r="DE6" s="367"/>
      <c r="DF6" s="367"/>
      <c r="DG6" s="367"/>
      <c r="DH6" s="367"/>
      <c r="DI6" s="367"/>
      <c r="DJ6" s="367"/>
      <c r="DK6" s="367"/>
      <c r="DL6" s="367"/>
      <c r="DM6" s="367"/>
      <c r="DN6" s="367"/>
      <c r="DO6" s="367"/>
      <c r="DP6" s="367">
        <v>15</v>
      </c>
      <c r="DQ6" s="367">
        <v>15</v>
      </c>
    </row>
    <row r="7" spans="1:121" x14ac:dyDescent="0.3">
      <c r="A7" s="260" t="s">
        <v>78</v>
      </c>
      <c r="B7" s="367"/>
      <c r="C7" s="367"/>
      <c r="D7" s="367">
        <v>5</v>
      </c>
      <c r="E7" s="367">
        <v>5</v>
      </c>
      <c r="F7" s="367"/>
      <c r="G7" s="367"/>
      <c r="H7" s="367">
        <v>10</v>
      </c>
      <c r="I7" s="367">
        <v>10</v>
      </c>
      <c r="J7" s="367">
        <v>9</v>
      </c>
      <c r="K7" s="367">
        <v>9</v>
      </c>
      <c r="L7" s="367">
        <v>6</v>
      </c>
      <c r="M7" s="367">
        <v>6</v>
      </c>
      <c r="N7" s="367">
        <v>4</v>
      </c>
      <c r="O7" s="367">
        <v>4</v>
      </c>
      <c r="P7" s="367">
        <v>4</v>
      </c>
      <c r="Q7" s="367">
        <v>4</v>
      </c>
      <c r="R7" s="367">
        <v>4</v>
      </c>
      <c r="S7" s="367">
        <v>4</v>
      </c>
      <c r="T7" s="367"/>
      <c r="U7" s="367"/>
      <c r="V7" s="367"/>
      <c r="W7" s="367"/>
      <c r="X7" s="367"/>
      <c r="Y7" s="367"/>
      <c r="Z7" s="367">
        <v>4</v>
      </c>
      <c r="AA7" s="367">
        <v>4</v>
      </c>
      <c r="AB7" s="367"/>
      <c r="AC7" s="367"/>
      <c r="AD7" s="367"/>
      <c r="AE7" s="367"/>
      <c r="AF7" s="367"/>
      <c r="AG7" s="367"/>
      <c r="AH7" s="367"/>
      <c r="AI7" s="367"/>
      <c r="AJ7" s="367"/>
      <c r="AK7" s="367"/>
      <c r="AL7" s="367">
        <v>3</v>
      </c>
      <c r="AM7" s="367">
        <v>3</v>
      </c>
      <c r="AN7" s="367"/>
      <c r="AO7" s="367"/>
      <c r="AP7" s="367"/>
      <c r="AQ7" s="367"/>
      <c r="AR7" s="367"/>
      <c r="AS7" s="367"/>
      <c r="AT7" s="367"/>
      <c r="AU7" s="367"/>
      <c r="AV7" s="367"/>
      <c r="AW7" s="367"/>
      <c r="AX7" s="367"/>
      <c r="AY7" s="367"/>
      <c r="AZ7" s="367"/>
      <c r="BA7" s="367"/>
      <c r="BB7" s="367"/>
      <c r="BC7" s="367"/>
      <c r="BD7" s="367"/>
      <c r="BE7" s="367"/>
      <c r="BF7" s="367"/>
      <c r="BG7" s="367"/>
      <c r="BH7" s="367"/>
      <c r="BI7" s="367"/>
      <c r="BJ7" s="367"/>
      <c r="BK7" s="367"/>
      <c r="BL7" s="367">
        <v>6</v>
      </c>
      <c r="BM7" s="367">
        <v>6</v>
      </c>
      <c r="BN7" s="367"/>
      <c r="BO7" s="367"/>
      <c r="BP7" s="367">
        <v>1</v>
      </c>
      <c r="BQ7" s="367">
        <v>1</v>
      </c>
      <c r="BR7" s="367">
        <v>5</v>
      </c>
      <c r="BS7" s="367">
        <v>5</v>
      </c>
      <c r="BT7" s="367">
        <v>4</v>
      </c>
      <c r="BU7" s="367">
        <v>4</v>
      </c>
      <c r="BV7" s="367"/>
      <c r="BW7" s="367"/>
      <c r="BX7" s="367"/>
      <c r="BY7" s="367"/>
      <c r="BZ7" s="367"/>
      <c r="CA7" s="367"/>
      <c r="CB7" s="367">
        <v>14</v>
      </c>
      <c r="CC7" s="367">
        <v>14</v>
      </c>
      <c r="CD7" s="367"/>
      <c r="CE7" s="367"/>
      <c r="CF7" s="367"/>
      <c r="CG7" s="367"/>
      <c r="CH7" s="367"/>
      <c r="CI7" s="367"/>
      <c r="CJ7" s="367"/>
      <c r="CK7" s="367"/>
      <c r="CL7" s="367"/>
      <c r="CM7" s="367"/>
      <c r="CN7" s="367"/>
      <c r="CO7" s="367"/>
      <c r="CP7" s="367"/>
      <c r="CQ7" s="367"/>
      <c r="CR7" s="367"/>
      <c r="CS7" s="367"/>
      <c r="CT7" s="367"/>
      <c r="CU7" s="367"/>
      <c r="CV7" s="367"/>
      <c r="CW7" s="367"/>
      <c r="CX7" s="367"/>
      <c r="CY7" s="367"/>
      <c r="CZ7" s="367"/>
      <c r="DA7" s="367"/>
      <c r="DB7" s="367"/>
      <c r="DC7" s="367"/>
      <c r="DD7" s="367"/>
      <c r="DE7" s="367"/>
      <c r="DF7" s="367"/>
      <c r="DG7" s="367"/>
      <c r="DH7" s="367"/>
      <c r="DI7" s="367"/>
      <c r="DJ7" s="367"/>
      <c r="DK7" s="367"/>
      <c r="DL7" s="367"/>
      <c r="DM7" s="367"/>
      <c r="DN7" s="367"/>
      <c r="DO7" s="367"/>
      <c r="DP7" s="367">
        <v>79</v>
      </c>
      <c r="DQ7" s="367">
        <v>79</v>
      </c>
    </row>
    <row r="8" spans="1:121" x14ac:dyDescent="0.3">
      <c r="A8" s="260" t="s">
        <v>79</v>
      </c>
      <c r="B8" s="367"/>
      <c r="C8" s="367"/>
      <c r="D8" s="367"/>
      <c r="E8" s="367"/>
      <c r="F8" s="367"/>
      <c r="G8" s="367"/>
      <c r="H8" s="367"/>
      <c r="I8" s="367"/>
      <c r="J8" s="367"/>
      <c r="K8" s="367"/>
      <c r="L8" s="367"/>
      <c r="M8" s="367"/>
      <c r="N8" s="367"/>
      <c r="O8" s="367"/>
      <c r="P8" s="367"/>
      <c r="Q8" s="367"/>
      <c r="R8" s="367"/>
      <c r="S8" s="367"/>
      <c r="T8" s="367">
        <v>1</v>
      </c>
      <c r="U8" s="367">
        <v>1</v>
      </c>
      <c r="V8" s="367">
        <v>3</v>
      </c>
      <c r="W8" s="367">
        <v>3</v>
      </c>
      <c r="X8" s="367">
        <v>3</v>
      </c>
      <c r="Y8" s="367">
        <v>3</v>
      </c>
      <c r="Z8" s="367">
        <v>1</v>
      </c>
      <c r="AA8" s="367">
        <v>1</v>
      </c>
      <c r="AB8" s="367">
        <v>5</v>
      </c>
      <c r="AC8" s="367">
        <v>5</v>
      </c>
      <c r="AD8" s="367"/>
      <c r="AE8" s="367"/>
      <c r="AF8" s="367"/>
      <c r="AG8" s="367"/>
      <c r="AH8" s="367">
        <v>5</v>
      </c>
      <c r="AI8" s="367">
        <v>5</v>
      </c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>
        <v>3</v>
      </c>
      <c r="BM8" s="367">
        <v>3</v>
      </c>
      <c r="BN8" s="367"/>
      <c r="BO8" s="367"/>
      <c r="BP8" s="367">
        <v>16</v>
      </c>
      <c r="BQ8" s="367">
        <v>16</v>
      </c>
      <c r="BR8" s="367"/>
      <c r="BS8" s="367"/>
      <c r="BT8" s="367">
        <v>1</v>
      </c>
      <c r="BU8" s="367">
        <v>1</v>
      </c>
      <c r="BV8" s="367"/>
      <c r="BW8" s="367"/>
      <c r="BX8" s="367"/>
      <c r="BY8" s="367"/>
      <c r="BZ8" s="367"/>
      <c r="CA8" s="367"/>
      <c r="CB8" s="367"/>
      <c r="CC8" s="367"/>
      <c r="CD8" s="367"/>
      <c r="CE8" s="367"/>
      <c r="CF8" s="367"/>
      <c r="CG8" s="367"/>
      <c r="CH8" s="367"/>
      <c r="CI8" s="367"/>
      <c r="CJ8" s="367"/>
      <c r="CK8" s="367"/>
      <c r="CL8" s="367"/>
      <c r="CM8" s="367"/>
      <c r="CN8" s="367"/>
      <c r="CO8" s="367"/>
      <c r="CP8" s="367"/>
      <c r="CQ8" s="367"/>
      <c r="CR8" s="367"/>
      <c r="CS8" s="367"/>
      <c r="CT8" s="367"/>
      <c r="CU8" s="367"/>
      <c r="CV8" s="367"/>
      <c r="CW8" s="367"/>
      <c r="CX8" s="367"/>
      <c r="CY8" s="367"/>
      <c r="CZ8" s="367"/>
      <c r="DA8" s="367"/>
      <c r="DB8" s="367"/>
      <c r="DC8" s="367"/>
      <c r="DD8" s="367"/>
      <c r="DE8" s="367"/>
      <c r="DF8" s="367"/>
      <c r="DG8" s="367"/>
      <c r="DH8" s="367"/>
      <c r="DI8" s="367"/>
      <c r="DJ8" s="367"/>
      <c r="DK8" s="367"/>
      <c r="DL8" s="367"/>
      <c r="DM8" s="367"/>
      <c r="DN8" s="367"/>
      <c r="DO8" s="367"/>
      <c r="DP8" s="367">
        <v>38</v>
      </c>
      <c r="DQ8" s="367">
        <v>38</v>
      </c>
    </row>
    <row r="9" spans="1:121" x14ac:dyDescent="0.3">
      <c r="A9" s="260" t="s">
        <v>80</v>
      </c>
      <c r="B9" s="367"/>
      <c r="C9" s="367"/>
      <c r="D9" s="367"/>
      <c r="E9" s="367"/>
      <c r="F9" s="367"/>
      <c r="G9" s="367"/>
      <c r="H9" s="367"/>
      <c r="I9" s="367"/>
      <c r="J9" s="367"/>
      <c r="K9" s="367"/>
      <c r="L9" s="367"/>
      <c r="M9" s="367"/>
      <c r="N9" s="367"/>
      <c r="O9" s="367"/>
      <c r="P9" s="367"/>
      <c r="Q9" s="367"/>
      <c r="R9" s="367"/>
      <c r="S9" s="367"/>
      <c r="T9" s="367">
        <v>3</v>
      </c>
      <c r="U9" s="367">
        <v>3</v>
      </c>
      <c r="V9" s="367"/>
      <c r="W9" s="367"/>
      <c r="X9" s="367"/>
      <c r="Y9" s="367"/>
      <c r="Z9" s="367"/>
      <c r="AA9" s="367"/>
      <c r="AB9" s="367"/>
      <c r="AC9" s="367"/>
      <c r="AD9" s="367">
        <v>6</v>
      </c>
      <c r="AE9" s="367">
        <v>6</v>
      </c>
      <c r="AF9" s="367">
        <v>4</v>
      </c>
      <c r="AG9" s="367">
        <v>4</v>
      </c>
      <c r="AH9" s="367">
        <v>1</v>
      </c>
      <c r="AI9" s="367">
        <v>1</v>
      </c>
      <c r="AJ9" s="367">
        <v>4</v>
      </c>
      <c r="AK9" s="367">
        <v>4</v>
      </c>
      <c r="AL9" s="367"/>
      <c r="AM9" s="367"/>
      <c r="AN9" s="367">
        <v>12</v>
      </c>
      <c r="AO9" s="367">
        <v>12</v>
      </c>
      <c r="AP9" s="367">
        <v>5</v>
      </c>
      <c r="AQ9" s="367">
        <v>5</v>
      </c>
      <c r="AR9" s="367"/>
      <c r="AS9" s="367"/>
      <c r="AT9" s="367"/>
      <c r="AU9" s="367"/>
      <c r="AV9" s="367"/>
      <c r="AW9" s="367"/>
      <c r="AX9" s="367"/>
      <c r="AY9" s="367"/>
      <c r="AZ9" s="367"/>
      <c r="BA9" s="367"/>
      <c r="BB9" s="367"/>
      <c r="BC9" s="367"/>
      <c r="BD9" s="367">
        <v>6</v>
      </c>
      <c r="BE9" s="367">
        <v>6</v>
      </c>
      <c r="BF9" s="367">
        <v>11</v>
      </c>
      <c r="BG9" s="367">
        <v>11</v>
      </c>
      <c r="BH9" s="367">
        <v>2</v>
      </c>
      <c r="BI9" s="367">
        <v>2</v>
      </c>
      <c r="BJ9" s="367">
        <v>1</v>
      </c>
      <c r="BK9" s="367">
        <v>1</v>
      </c>
      <c r="BL9" s="367"/>
      <c r="BM9" s="367"/>
      <c r="BN9" s="367">
        <v>7</v>
      </c>
      <c r="BO9" s="367">
        <v>7</v>
      </c>
      <c r="BP9" s="367"/>
      <c r="BQ9" s="367"/>
      <c r="BR9" s="367"/>
      <c r="BS9" s="367"/>
      <c r="BT9" s="367"/>
      <c r="BU9" s="367"/>
      <c r="BV9" s="367">
        <v>5</v>
      </c>
      <c r="BW9" s="367">
        <v>5</v>
      </c>
      <c r="BX9" s="367">
        <v>8</v>
      </c>
      <c r="BY9" s="367">
        <v>8</v>
      </c>
      <c r="BZ9" s="367"/>
      <c r="CA9" s="367"/>
      <c r="CB9" s="367"/>
      <c r="CC9" s="367"/>
      <c r="CD9" s="367"/>
      <c r="CE9" s="367"/>
      <c r="CF9" s="367"/>
      <c r="CG9" s="367"/>
      <c r="CH9" s="367"/>
      <c r="CI9" s="367"/>
      <c r="CJ9" s="367"/>
      <c r="CK9" s="367"/>
      <c r="CL9" s="367"/>
      <c r="CM9" s="367"/>
      <c r="CN9" s="367"/>
      <c r="CO9" s="367"/>
      <c r="CP9" s="367"/>
      <c r="CQ9" s="367"/>
      <c r="CR9" s="367"/>
      <c r="CS9" s="367"/>
      <c r="CT9" s="367"/>
      <c r="CU9" s="367"/>
      <c r="CV9" s="367"/>
      <c r="CW9" s="367"/>
      <c r="CX9" s="367"/>
      <c r="CY9" s="367"/>
      <c r="CZ9" s="367"/>
      <c r="DA9" s="367"/>
      <c r="DB9" s="367"/>
      <c r="DC9" s="367"/>
      <c r="DD9" s="367"/>
      <c r="DE9" s="367"/>
      <c r="DF9" s="367"/>
      <c r="DG9" s="367"/>
      <c r="DH9" s="367"/>
      <c r="DI9" s="367"/>
      <c r="DJ9" s="367"/>
      <c r="DK9" s="367"/>
      <c r="DL9" s="367"/>
      <c r="DM9" s="367"/>
      <c r="DN9" s="367"/>
      <c r="DO9" s="367"/>
      <c r="DP9" s="367">
        <v>75</v>
      </c>
      <c r="DQ9" s="367">
        <v>75</v>
      </c>
    </row>
    <row r="10" spans="1:121" x14ac:dyDescent="0.3">
      <c r="A10" s="260" t="s">
        <v>81</v>
      </c>
      <c r="B10" s="367"/>
      <c r="C10" s="367"/>
      <c r="D10" s="367"/>
      <c r="E10" s="367"/>
      <c r="F10" s="367"/>
      <c r="G10" s="367"/>
      <c r="H10" s="367"/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7"/>
      <c r="AA10" s="367"/>
      <c r="AB10" s="367"/>
      <c r="AC10" s="367"/>
      <c r="AD10" s="367"/>
      <c r="AE10" s="367"/>
      <c r="AF10" s="367"/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7">
        <v>6</v>
      </c>
      <c r="AS10" s="367">
        <v>6</v>
      </c>
      <c r="AT10" s="367">
        <v>4</v>
      </c>
      <c r="AU10" s="367">
        <v>4</v>
      </c>
      <c r="AV10" s="367">
        <v>8</v>
      </c>
      <c r="AW10" s="367">
        <v>8</v>
      </c>
      <c r="AX10" s="367">
        <v>8</v>
      </c>
      <c r="AY10" s="367">
        <v>8</v>
      </c>
      <c r="AZ10" s="367"/>
      <c r="BA10" s="367"/>
      <c r="BB10" s="367"/>
      <c r="BC10" s="367"/>
      <c r="BD10" s="367"/>
      <c r="BE10" s="367"/>
      <c r="BF10" s="367"/>
      <c r="BG10" s="367"/>
      <c r="BH10" s="367"/>
      <c r="BI10" s="367"/>
      <c r="BJ10" s="367"/>
      <c r="BK10" s="367"/>
      <c r="BL10" s="367"/>
      <c r="BM10" s="367"/>
      <c r="BN10" s="367"/>
      <c r="BO10" s="367"/>
      <c r="BP10" s="367"/>
      <c r="BQ10" s="367"/>
      <c r="BR10" s="367"/>
      <c r="BS10" s="367"/>
      <c r="BT10" s="367"/>
      <c r="BU10" s="367"/>
      <c r="BV10" s="367"/>
      <c r="BW10" s="367"/>
      <c r="BX10" s="367"/>
      <c r="BY10" s="367"/>
      <c r="BZ10" s="367"/>
      <c r="CA10" s="367"/>
      <c r="CB10" s="367"/>
      <c r="CC10" s="367"/>
      <c r="CD10" s="367">
        <v>8</v>
      </c>
      <c r="CE10" s="367">
        <v>8</v>
      </c>
      <c r="CF10" s="367">
        <v>7</v>
      </c>
      <c r="CG10" s="367">
        <v>7</v>
      </c>
      <c r="CH10" s="367"/>
      <c r="CI10" s="367"/>
      <c r="CJ10" s="367">
        <v>3</v>
      </c>
      <c r="CK10" s="367">
        <v>3</v>
      </c>
      <c r="CL10" s="367">
        <v>4</v>
      </c>
      <c r="CM10" s="367">
        <v>4</v>
      </c>
      <c r="CN10" s="367"/>
      <c r="CO10" s="367"/>
      <c r="CP10" s="367">
        <v>7</v>
      </c>
      <c r="CQ10" s="367">
        <v>7</v>
      </c>
      <c r="CR10" s="367">
        <v>5</v>
      </c>
      <c r="CS10" s="367">
        <v>5</v>
      </c>
      <c r="CT10" s="367">
        <v>5</v>
      </c>
      <c r="CU10" s="367">
        <v>5</v>
      </c>
      <c r="CV10" s="367">
        <v>5</v>
      </c>
      <c r="CW10" s="367">
        <v>5</v>
      </c>
      <c r="CX10" s="367"/>
      <c r="CY10" s="367"/>
      <c r="CZ10" s="367">
        <v>8</v>
      </c>
      <c r="DA10" s="367">
        <v>8</v>
      </c>
      <c r="DB10" s="367">
        <v>1</v>
      </c>
      <c r="DC10" s="367">
        <v>1</v>
      </c>
      <c r="DD10" s="367">
        <v>3</v>
      </c>
      <c r="DE10" s="367">
        <v>3</v>
      </c>
      <c r="DF10" s="367">
        <v>5</v>
      </c>
      <c r="DG10" s="367">
        <v>5</v>
      </c>
      <c r="DH10" s="367"/>
      <c r="DI10" s="367"/>
      <c r="DJ10" s="367"/>
      <c r="DK10" s="367"/>
      <c r="DL10" s="367"/>
      <c r="DM10" s="367"/>
      <c r="DN10" s="367"/>
      <c r="DO10" s="367"/>
      <c r="DP10" s="367">
        <v>87</v>
      </c>
      <c r="DQ10" s="367">
        <v>87</v>
      </c>
    </row>
    <row r="11" spans="1:121" x14ac:dyDescent="0.3">
      <c r="A11" s="260" t="s">
        <v>82</v>
      </c>
      <c r="B11" s="367">
        <v>1</v>
      </c>
      <c r="C11" s="367">
        <v>1</v>
      </c>
      <c r="D11" s="367"/>
      <c r="E11" s="367"/>
      <c r="F11" s="367"/>
      <c r="G11" s="367"/>
      <c r="H11" s="367">
        <v>2</v>
      </c>
      <c r="I11" s="367">
        <v>2</v>
      </c>
      <c r="J11" s="367"/>
      <c r="K11" s="367"/>
      <c r="L11" s="367"/>
      <c r="M11" s="367"/>
      <c r="N11" s="367">
        <v>2</v>
      </c>
      <c r="O11" s="367">
        <v>2</v>
      </c>
      <c r="P11" s="367"/>
      <c r="Q11" s="367"/>
      <c r="R11" s="367"/>
      <c r="S11" s="367"/>
      <c r="T11" s="367"/>
      <c r="U11" s="367"/>
      <c r="V11" s="367">
        <v>1</v>
      </c>
      <c r="W11" s="367">
        <v>1</v>
      </c>
      <c r="X11" s="367"/>
      <c r="Y11" s="367"/>
      <c r="Z11" s="367">
        <v>2</v>
      </c>
      <c r="AA11" s="367">
        <v>2</v>
      </c>
      <c r="AB11" s="367"/>
      <c r="AC11" s="367"/>
      <c r="AD11" s="367">
        <v>1</v>
      </c>
      <c r="AE11" s="367">
        <v>1</v>
      </c>
      <c r="AF11" s="367"/>
      <c r="AG11" s="367"/>
      <c r="AH11" s="367">
        <v>1</v>
      </c>
      <c r="AI11" s="367">
        <v>1</v>
      </c>
      <c r="AJ11" s="367"/>
      <c r="AK11" s="367"/>
      <c r="AL11" s="367"/>
      <c r="AM11" s="367"/>
      <c r="AN11" s="367"/>
      <c r="AO11" s="367"/>
      <c r="AP11" s="367"/>
      <c r="AQ11" s="367"/>
      <c r="AR11" s="367"/>
      <c r="AS11" s="367"/>
      <c r="AT11" s="367"/>
      <c r="AU11" s="367"/>
      <c r="AV11" s="367"/>
      <c r="AW11" s="367"/>
      <c r="AX11" s="367"/>
      <c r="AY11" s="367"/>
      <c r="AZ11" s="367">
        <v>13</v>
      </c>
      <c r="BA11" s="367">
        <v>13</v>
      </c>
      <c r="BB11" s="367">
        <v>22</v>
      </c>
      <c r="BC11" s="367">
        <v>22</v>
      </c>
      <c r="BD11" s="367"/>
      <c r="BE11" s="367"/>
      <c r="BF11" s="367"/>
      <c r="BG11" s="367"/>
      <c r="BH11" s="367"/>
      <c r="BI11" s="367"/>
      <c r="BJ11" s="367"/>
      <c r="BK11" s="367"/>
      <c r="BL11" s="367"/>
      <c r="BM11" s="367"/>
      <c r="BN11" s="367"/>
      <c r="BO11" s="367"/>
      <c r="BP11" s="367">
        <v>1</v>
      </c>
      <c r="BQ11" s="367">
        <v>1</v>
      </c>
      <c r="BR11" s="367"/>
      <c r="BS11" s="367"/>
      <c r="BT11" s="367">
        <v>10</v>
      </c>
      <c r="BU11" s="367">
        <v>10</v>
      </c>
      <c r="BV11" s="367">
        <v>3</v>
      </c>
      <c r="BW11" s="367">
        <v>3</v>
      </c>
      <c r="BX11" s="367"/>
      <c r="BY11" s="367"/>
      <c r="BZ11" s="367">
        <v>4</v>
      </c>
      <c r="CA11" s="367">
        <v>4</v>
      </c>
      <c r="CB11" s="367"/>
      <c r="CC11" s="367"/>
      <c r="CD11" s="367"/>
      <c r="CE11" s="367"/>
      <c r="CF11" s="367"/>
      <c r="CG11" s="367"/>
      <c r="CH11" s="367"/>
      <c r="CI11" s="367"/>
      <c r="CJ11" s="367"/>
      <c r="CK11" s="367"/>
      <c r="CL11" s="367"/>
      <c r="CM11" s="367"/>
      <c r="CN11" s="367"/>
      <c r="CO11" s="367"/>
      <c r="CP11" s="367"/>
      <c r="CQ11" s="367"/>
      <c r="CR11" s="367"/>
      <c r="CS11" s="367"/>
      <c r="CT11" s="367">
        <v>2</v>
      </c>
      <c r="CU11" s="367">
        <v>2</v>
      </c>
      <c r="CV11" s="367">
        <v>9</v>
      </c>
      <c r="CW11" s="367">
        <v>9</v>
      </c>
      <c r="CX11" s="367">
        <v>4</v>
      </c>
      <c r="CY11" s="367">
        <v>4</v>
      </c>
      <c r="CZ11" s="367"/>
      <c r="DA11" s="367"/>
      <c r="DB11" s="367"/>
      <c r="DC11" s="367"/>
      <c r="DD11" s="367"/>
      <c r="DE11" s="367"/>
      <c r="DF11" s="367"/>
      <c r="DG11" s="367"/>
      <c r="DH11" s="367">
        <v>17</v>
      </c>
      <c r="DI11" s="367">
        <v>17</v>
      </c>
      <c r="DJ11" s="367"/>
      <c r="DK11" s="367"/>
      <c r="DL11" s="367"/>
      <c r="DM11" s="367"/>
      <c r="DN11" s="367"/>
      <c r="DO11" s="367"/>
      <c r="DP11" s="367">
        <v>95</v>
      </c>
      <c r="DQ11" s="367">
        <v>95</v>
      </c>
    </row>
    <row r="12" spans="1:121" x14ac:dyDescent="0.3">
      <c r="A12" s="260" t="s">
        <v>83</v>
      </c>
      <c r="B12" s="367"/>
      <c r="C12" s="367"/>
      <c r="D12" s="367"/>
      <c r="E12" s="367"/>
      <c r="F12" s="367"/>
      <c r="G12" s="367"/>
      <c r="H12" s="367"/>
      <c r="I12" s="367"/>
      <c r="J12" s="367"/>
      <c r="K12" s="367"/>
      <c r="L12" s="367"/>
      <c r="M12" s="367"/>
      <c r="N12" s="367"/>
      <c r="O12" s="367"/>
      <c r="P12" s="367"/>
      <c r="Q12" s="367"/>
      <c r="R12" s="367"/>
      <c r="S12" s="367"/>
      <c r="T12" s="367"/>
      <c r="U12" s="367"/>
      <c r="V12" s="367"/>
      <c r="W12" s="367"/>
      <c r="X12" s="367"/>
      <c r="Y12" s="367"/>
      <c r="Z12" s="367"/>
      <c r="AA12" s="367"/>
      <c r="AB12" s="367"/>
      <c r="AC12" s="367"/>
      <c r="AD12" s="367"/>
      <c r="AE12" s="367"/>
      <c r="AF12" s="367"/>
      <c r="AG12" s="367"/>
      <c r="AH12" s="367"/>
      <c r="AI12" s="367"/>
      <c r="AJ12" s="367"/>
      <c r="AK12" s="367"/>
      <c r="AL12" s="367"/>
      <c r="AM12" s="367"/>
      <c r="AN12" s="367"/>
      <c r="AO12" s="367"/>
      <c r="AP12" s="367"/>
      <c r="AQ12" s="367"/>
      <c r="AR12" s="367"/>
      <c r="AS12" s="367"/>
      <c r="AT12" s="367"/>
      <c r="AU12" s="367"/>
      <c r="AV12" s="367"/>
      <c r="AW12" s="367"/>
      <c r="AX12" s="367"/>
      <c r="AY12" s="367"/>
      <c r="AZ12" s="367"/>
      <c r="BA12" s="367"/>
      <c r="BB12" s="367"/>
      <c r="BC12" s="367"/>
      <c r="BD12" s="367"/>
      <c r="BE12" s="367"/>
      <c r="BF12" s="367"/>
      <c r="BG12" s="367"/>
      <c r="BH12" s="367"/>
      <c r="BI12" s="367"/>
      <c r="BJ12" s="367"/>
      <c r="BK12" s="367"/>
      <c r="BL12" s="367"/>
      <c r="BM12" s="367"/>
      <c r="BN12" s="367"/>
      <c r="BO12" s="367"/>
      <c r="BP12" s="367"/>
      <c r="BQ12" s="367"/>
      <c r="BR12" s="367"/>
      <c r="BS12" s="367"/>
      <c r="BT12" s="367"/>
      <c r="BU12" s="367"/>
      <c r="BV12" s="367"/>
      <c r="BW12" s="367"/>
      <c r="BX12" s="367"/>
      <c r="BY12" s="367"/>
      <c r="BZ12" s="367"/>
      <c r="CA12" s="367"/>
      <c r="CB12" s="367"/>
      <c r="CC12" s="367"/>
      <c r="CD12" s="367"/>
      <c r="CE12" s="367"/>
      <c r="CF12" s="367"/>
      <c r="CG12" s="367"/>
      <c r="CH12" s="367"/>
      <c r="CI12" s="367"/>
      <c r="CJ12" s="367">
        <v>1</v>
      </c>
      <c r="CK12" s="367">
        <v>1</v>
      </c>
      <c r="CL12" s="367"/>
      <c r="CM12" s="367"/>
      <c r="CN12" s="367"/>
      <c r="CO12" s="367"/>
      <c r="CP12" s="367"/>
      <c r="CQ12" s="367"/>
      <c r="CR12" s="367"/>
      <c r="CS12" s="367"/>
      <c r="CT12" s="367"/>
      <c r="CU12" s="367"/>
      <c r="CV12" s="367"/>
      <c r="CW12" s="367"/>
      <c r="CX12" s="367"/>
      <c r="CY12" s="367"/>
      <c r="CZ12" s="367"/>
      <c r="DA12" s="367"/>
      <c r="DB12" s="367"/>
      <c r="DC12" s="367"/>
      <c r="DD12" s="367"/>
      <c r="DE12" s="367"/>
      <c r="DF12" s="367"/>
      <c r="DG12" s="367"/>
      <c r="DH12" s="367"/>
      <c r="DI12" s="367"/>
      <c r="DJ12" s="367">
        <v>9</v>
      </c>
      <c r="DK12" s="367">
        <v>9</v>
      </c>
      <c r="DL12" s="367"/>
      <c r="DM12" s="367"/>
      <c r="DN12" s="367"/>
      <c r="DO12" s="367"/>
      <c r="DP12" s="367">
        <v>10</v>
      </c>
      <c r="DQ12" s="367">
        <v>10</v>
      </c>
    </row>
    <row r="13" spans="1:121" x14ac:dyDescent="0.3">
      <c r="A13" s="260" t="s">
        <v>84</v>
      </c>
      <c r="B13" s="367"/>
      <c r="C13" s="367"/>
      <c r="D13" s="367"/>
      <c r="E13" s="367"/>
      <c r="F13" s="367"/>
      <c r="G13" s="367"/>
      <c r="H13" s="367"/>
      <c r="I13" s="367"/>
      <c r="J13" s="367"/>
      <c r="K13" s="367"/>
      <c r="L13" s="367"/>
      <c r="M13" s="367"/>
      <c r="N13" s="367"/>
      <c r="O13" s="367"/>
      <c r="P13" s="367"/>
      <c r="Q13" s="367"/>
      <c r="R13" s="367"/>
      <c r="S13" s="367"/>
      <c r="T13" s="367"/>
      <c r="U13" s="367"/>
      <c r="V13" s="367"/>
      <c r="W13" s="367"/>
      <c r="X13" s="367"/>
      <c r="Y13" s="367"/>
      <c r="Z13" s="367"/>
      <c r="AA13" s="367"/>
      <c r="AB13" s="367"/>
      <c r="AC13" s="367"/>
      <c r="AD13" s="367"/>
      <c r="AE13" s="367"/>
      <c r="AF13" s="367"/>
      <c r="AG13" s="367"/>
      <c r="AH13" s="367"/>
      <c r="AI13" s="367"/>
      <c r="AJ13" s="367"/>
      <c r="AK13" s="367"/>
      <c r="AL13" s="367"/>
      <c r="AM13" s="367"/>
      <c r="AN13" s="367"/>
      <c r="AO13" s="367"/>
      <c r="AP13" s="367"/>
      <c r="AQ13" s="367"/>
      <c r="AR13" s="367"/>
      <c r="AS13" s="367"/>
      <c r="AT13" s="367"/>
      <c r="AU13" s="367"/>
      <c r="AV13" s="367"/>
      <c r="AW13" s="367"/>
      <c r="AX13" s="367"/>
      <c r="AY13" s="367"/>
      <c r="AZ13" s="367">
        <v>31</v>
      </c>
      <c r="BA13" s="367">
        <v>31</v>
      </c>
      <c r="BB13" s="367">
        <v>21</v>
      </c>
      <c r="BC13" s="367">
        <v>21</v>
      </c>
      <c r="BD13" s="367"/>
      <c r="BE13" s="367"/>
      <c r="BF13" s="367"/>
      <c r="BG13" s="367"/>
      <c r="BH13" s="367"/>
      <c r="BI13" s="367"/>
      <c r="BJ13" s="367"/>
      <c r="BK13" s="367"/>
      <c r="BL13" s="367"/>
      <c r="BM13" s="367"/>
      <c r="BN13" s="367"/>
      <c r="BO13" s="367"/>
      <c r="BP13" s="367"/>
      <c r="BQ13" s="367"/>
      <c r="BR13" s="367"/>
      <c r="BS13" s="367"/>
      <c r="BT13" s="367"/>
      <c r="BU13" s="367"/>
      <c r="BV13" s="367"/>
      <c r="BW13" s="367"/>
      <c r="BX13" s="367"/>
      <c r="BY13" s="367"/>
      <c r="BZ13" s="367"/>
      <c r="CA13" s="367"/>
      <c r="CB13" s="367"/>
      <c r="CC13" s="367"/>
      <c r="CD13" s="367"/>
      <c r="CE13" s="367"/>
      <c r="CF13" s="367"/>
      <c r="CG13" s="367"/>
      <c r="CH13" s="367">
        <v>2</v>
      </c>
      <c r="CI13" s="367">
        <v>2</v>
      </c>
      <c r="CJ13" s="367">
        <v>11</v>
      </c>
      <c r="CK13" s="367">
        <v>11</v>
      </c>
      <c r="CL13" s="367">
        <v>1</v>
      </c>
      <c r="CM13" s="367">
        <v>1</v>
      </c>
      <c r="CN13" s="367">
        <v>10</v>
      </c>
      <c r="CO13" s="367">
        <v>10</v>
      </c>
      <c r="CP13" s="367"/>
      <c r="CQ13" s="367"/>
      <c r="CR13" s="367"/>
      <c r="CS13" s="367"/>
      <c r="CT13" s="367"/>
      <c r="CU13" s="367"/>
      <c r="CV13" s="367"/>
      <c r="CW13" s="367"/>
      <c r="CX13" s="367"/>
      <c r="CY13" s="367"/>
      <c r="CZ13" s="367">
        <v>30</v>
      </c>
      <c r="DA13" s="367">
        <v>30</v>
      </c>
      <c r="DB13" s="367">
        <v>12</v>
      </c>
      <c r="DC13" s="367">
        <v>12</v>
      </c>
      <c r="DD13" s="367"/>
      <c r="DE13" s="367"/>
      <c r="DF13" s="367">
        <v>18</v>
      </c>
      <c r="DG13" s="367">
        <v>18</v>
      </c>
      <c r="DH13" s="367"/>
      <c r="DI13" s="367"/>
      <c r="DJ13" s="367"/>
      <c r="DK13" s="367"/>
      <c r="DL13" s="367"/>
      <c r="DM13" s="367"/>
      <c r="DN13" s="367"/>
      <c r="DO13" s="367"/>
      <c r="DP13" s="367">
        <v>136</v>
      </c>
      <c r="DQ13" s="367">
        <v>136</v>
      </c>
    </row>
    <row r="14" spans="1:121" x14ac:dyDescent="0.3">
      <c r="A14" s="260" t="s">
        <v>85</v>
      </c>
      <c r="B14" s="367"/>
      <c r="C14" s="367"/>
      <c r="D14" s="367"/>
      <c r="E14" s="367"/>
      <c r="F14" s="367"/>
      <c r="G14" s="367"/>
      <c r="H14" s="367"/>
      <c r="I14" s="367"/>
      <c r="J14" s="367"/>
      <c r="K14" s="367"/>
      <c r="L14" s="367"/>
      <c r="M14" s="367"/>
      <c r="N14" s="367"/>
      <c r="O14" s="367"/>
      <c r="P14" s="367"/>
      <c r="Q14" s="367"/>
      <c r="R14" s="367"/>
      <c r="S14" s="367"/>
      <c r="T14" s="367">
        <v>1</v>
      </c>
      <c r="U14" s="367">
        <v>1</v>
      </c>
      <c r="V14" s="367"/>
      <c r="W14" s="367"/>
      <c r="X14" s="367"/>
      <c r="Y14" s="367"/>
      <c r="Z14" s="367"/>
      <c r="AA14" s="367"/>
      <c r="AB14" s="367"/>
      <c r="AC14" s="367"/>
      <c r="AD14" s="367"/>
      <c r="AE14" s="367"/>
      <c r="AF14" s="367"/>
      <c r="AG14" s="367"/>
      <c r="AH14" s="367"/>
      <c r="AI14" s="367"/>
      <c r="AJ14" s="367"/>
      <c r="AK14" s="367"/>
      <c r="AL14" s="367"/>
      <c r="AM14" s="367"/>
      <c r="AN14" s="367"/>
      <c r="AO14" s="367"/>
      <c r="AP14" s="367"/>
      <c r="AQ14" s="367"/>
      <c r="AR14" s="367"/>
      <c r="AS14" s="367"/>
      <c r="AT14" s="367"/>
      <c r="AU14" s="367"/>
      <c r="AV14" s="367"/>
      <c r="AW14" s="367"/>
      <c r="AX14" s="367"/>
      <c r="AY14" s="367"/>
      <c r="AZ14" s="367"/>
      <c r="BA14" s="367"/>
      <c r="BB14" s="367"/>
      <c r="BC14" s="367"/>
      <c r="BD14" s="367"/>
      <c r="BE14" s="367"/>
      <c r="BF14" s="367"/>
      <c r="BG14" s="367"/>
      <c r="BH14" s="367"/>
      <c r="BI14" s="367"/>
      <c r="BJ14" s="367"/>
      <c r="BK14" s="367"/>
      <c r="BL14" s="367"/>
      <c r="BM14" s="367"/>
      <c r="BN14" s="367"/>
      <c r="BO14" s="367"/>
      <c r="BP14" s="367"/>
      <c r="BQ14" s="367"/>
      <c r="BR14" s="367"/>
      <c r="BS14" s="367"/>
      <c r="BT14" s="367"/>
      <c r="BU14" s="367"/>
      <c r="BV14" s="367"/>
      <c r="BW14" s="367"/>
      <c r="BX14" s="367"/>
      <c r="BY14" s="367"/>
      <c r="BZ14" s="367"/>
      <c r="CA14" s="367"/>
      <c r="CB14" s="367"/>
      <c r="CC14" s="367"/>
      <c r="CD14" s="367"/>
      <c r="CE14" s="367"/>
      <c r="CF14" s="367"/>
      <c r="CG14" s="367"/>
      <c r="CH14" s="367"/>
      <c r="CI14" s="367"/>
      <c r="CJ14" s="367"/>
      <c r="CK14" s="367"/>
      <c r="CL14" s="367"/>
      <c r="CM14" s="367"/>
      <c r="CN14" s="367"/>
      <c r="CO14" s="367"/>
      <c r="CP14" s="367"/>
      <c r="CQ14" s="367"/>
      <c r="CR14" s="367"/>
      <c r="CS14" s="367"/>
      <c r="CT14" s="367"/>
      <c r="CU14" s="367"/>
      <c r="CV14" s="367"/>
      <c r="CW14" s="367"/>
      <c r="CX14" s="367"/>
      <c r="CY14" s="367"/>
      <c r="CZ14" s="367"/>
      <c r="DA14" s="367"/>
      <c r="DB14" s="367"/>
      <c r="DC14" s="367"/>
      <c r="DD14" s="367"/>
      <c r="DE14" s="367"/>
      <c r="DF14" s="367"/>
      <c r="DG14" s="367"/>
      <c r="DH14" s="367"/>
      <c r="DI14" s="367"/>
      <c r="DJ14" s="367"/>
      <c r="DK14" s="367"/>
      <c r="DL14" s="367"/>
      <c r="DM14" s="367"/>
      <c r="DN14" s="367"/>
      <c r="DO14" s="367"/>
      <c r="DP14" s="367">
        <v>1</v>
      </c>
      <c r="DQ14" s="367">
        <v>1</v>
      </c>
    </row>
    <row r="15" spans="1:121" x14ac:dyDescent="0.3">
      <c r="A15" s="260" t="s">
        <v>86</v>
      </c>
      <c r="B15" s="367"/>
      <c r="C15" s="367"/>
      <c r="D15" s="367"/>
      <c r="E15" s="367"/>
      <c r="F15" s="367"/>
      <c r="G15" s="367"/>
      <c r="H15" s="367"/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7"/>
      <c r="AA15" s="367"/>
      <c r="AB15" s="367"/>
      <c r="AC15" s="367"/>
      <c r="AD15" s="367"/>
      <c r="AE15" s="367"/>
      <c r="AF15" s="367"/>
      <c r="AG15" s="367"/>
      <c r="AH15" s="367"/>
      <c r="AI15" s="367"/>
      <c r="AJ15" s="367"/>
      <c r="AK15" s="367"/>
      <c r="AL15" s="367"/>
      <c r="AM15" s="367"/>
      <c r="AN15" s="367"/>
      <c r="AO15" s="367"/>
      <c r="AP15" s="367"/>
      <c r="AQ15" s="367"/>
      <c r="AR15" s="367"/>
      <c r="AS15" s="367"/>
      <c r="AT15" s="367"/>
      <c r="AU15" s="367"/>
      <c r="AV15" s="367"/>
      <c r="AW15" s="367"/>
      <c r="AX15" s="367"/>
      <c r="AY15" s="367"/>
      <c r="AZ15" s="367"/>
      <c r="BA15" s="367"/>
      <c r="BB15" s="367"/>
      <c r="BC15" s="367"/>
      <c r="BD15" s="367"/>
      <c r="BE15" s="367"/>
      <c r="BF15" s="367"/>
      <c r="BG15" s="367"/>
      <c r="BH15" s="367"/>
      <c r="BI15" s="367"/>
      <c r="BJ15" s="367"/>
      <c r="BK15" s="367"/>
      <c r="BL15" s="367"/>
      <c r="BM15" s="367"/>
      <c r="BN15" s="367"/>
      <c r="BO15" s="367"/>
      <c r="BP15" s="367"/>
      <c r="BQ15" s="367"/>
      <c r="BR15" s="367"/>
      <c r="BS15" s="367"/>
      <c r="BT15" s="367"/>
      <c r="BU15" s="367"/>
      <c r="BV15" s="367"/>
      <c r="BW15" s="367"/>
      <c r="BX15" s="367"/>
      <c r="BY15" s="367"/>
      <c r="BZ15" s="367"/>
      <c r="CA15" s="367"/>
      <c r="CB15" s="367"/>
      <c r="CC15" s="367"/>
      <c r="CD15" s="367"/>
      <c r="CE15" s="367"/>
      <c r="CF15" s="367"/>
      <c r="CG15" s="367"/>
      <c r="CH15" s="367"/>
      <c r="CI15" s="367"/>
      <c r="CJ15" s="367"/>
      <c r="CK15" s="367"/>
      <c r="CL15" s="367"/>
      <c r="CM15" s="367"/>
      <c r="CN15" s="367"/>
      <c r="CO15" s="367"/>
      <c r="CP15" s="367"/>
      <c r="CQ15" s="367"/>
      <c r="CR15" s="367"/>
      <c r="CS15" s="367"/>
      <c r="CT15" s="367"/>
      <c r="CU15" s="367"/>
      <c r="CV15" s="367"/>
      <c r="CW15" s="367"/>
      <c r="CX15" s="367"/>
      <c r="CY15" s="367"/>
      <c r="CZ15" s="367"/>
      <c r="DA15" s="367"/>
      <c r="DB15" s="367"/>
      <c r="DC15" s="367"/>
      <c r="DD15" s="367"/>
      <c r="DE15" s="367"/>
      <c r="DF15" s="367"/>
      <c r="DG15" s="367"/>
      <c r="DH15" s="367"/>
      <c r="DI15" s="367"/>
      <c r="DJ15" s="367"/>
      <c r="DK15" s="367"/>
      <c r="DL15" s="367"/>
      <c r="DM15" s="367"/>
      <c r="DN15" s="367"/>
      <c r="DO15" s="367"/>
      <c r="DP15" s="367"/>
      <c r="DQ15" s="367"/>
    </row>
    <row r="16" spans="1:121" x14ac:dyDescent="0.3">
      <c r="A16" s="260" t="s">
        <v>2541</v>
      </c>
      <c r="B16" s="367"/>
      <c r="C16" s="367"/>
      <c r="D16" s="367"/>
      <c r="E16" s="367"/>
      <c r="F16" s="367"/>
      <c r="G16" s="367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67"/>
      <c r="AF16" s="36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367"/>
      <c r="BN16" s="367"/>
      <c r="BO16" s="367"/>
      <c r="BP16" s="367"/>
      <c r="BQ16" s="367"/>
      <c r="BR16" s="367"/>
      <c r="BS16" s="367"/>
      <c r="BT16" s="367"/>
      <c r="BU16" s="367"/>
      <c r="BV16" s="367"/>
      <c r="BW16" s="367"/>
      <c r="BX16" s="367"/>
      <c r="BY16" s="367"/>
      <c r="BZ16" s="367"/>
      <c r="CA16" s="367"/>
      <c r="CB16" s="367"/>
      <c r="CC16" s="367"/>
      <c r="CD16" s="367"/>
      <c r="CE16" s="367"/>
      <c r="CF16" s="367"/>
      <c r="CG16" s="367"/>
      <c r="CH16" s="367"/>
      <c r="CI16" s="367"/>
      <c r="CJ16" s="367"/>
      <c r="CK16" s="367"/>
      <c r="CL16" s="367"/>
      <c r="CM16" s="367"/>
      <c r="CN16" s="367"/>
      <c r="CO16" s="367"/>
      <c r="CP16" s="367"/>
      <c r="CQ16" s="367"/>
      <c r="CR16" s="367"/>
      <c r="CS16" s="367"/>
      <c r="CT16" s="367"/>
      <c r="CU16" s="367"/>
      <c r="CV16" s="367"/>
      <c r="CW16" s="367"/>
      <c r="CX16" s="367"/>
      <c r="CY16" s="367"/>
      <c r="CZ16" s="367"/>
      <c r="DA16" s="367"/>
      <c r="DB16" s="367"/>
      <c r="DC16" s="367"/>
      <c r="DD16" s="367"/>
      <c r="DE16" s="367"/>
      <c r="DF16" s="367"/>
      <c r="DG16" s="367"/>
      <c r="DH16" s="367"/>
      <c r="DI16" s="367"/>
      <c r="DJ16" s="367"/>
      <c r="DK16" s="367"/>
      <c r="DL16" s="367">
        <v>12</v>
      </c>
      <c r="DM16" s="367">
        <v>12</v>
      </c>
      <c r="DN16" s="367"/>
      <c r="DO16" s="367"/>
      <c r="DP16" s="367">
        <v>12</v>
      </c>
      <c r="DQ16" s="367">
        <v>12</v>
      </c>
    </row>
    <row r="17" spans="1:121" x14ac:dyDescent="0.3">
      <c r="A17" s="260" t="s">
        <v>56</v>
      </c>
      <c r="B17" s="367">
        <v>9</v>
      </c>
      <c r="C17" s="367">
        <v>9</v>
      </c>
      <c r="D17" s="367">
        <v>9</v>
      </c>
      <c r="E17" s="367">
        <v>9</v>
      </c>
      <c r="F17" s="367">
        <v>3</v>
      </c>
      <c r="G17" s="367">
        <v>3</v>
      </c>
      <c r="H17" s="367">
        <v>12</v>
      </c>
      <c r="I17" s="367">
        <v>12</v>
      </c>
      <c r="J17" s="367">
        <v>9</v>
      </c>
      <c r="K17" s="367">
        <v>9</v>
      </c>
      <c r="L17" s="367">
        <v>6</v>
      </c>
      <c r="M17" s="367">
        <v>6</v>
      </c>
      <c r="N17" s="367">
        <v>6</v>
      </c>
      <c r="O17" s="367">
        <v>6</v>
      </c>
      <c r="P17" s="367">
        <v>4</v>
      </c>
      <c r="Q17" s="367">
        <v>4</v>
      </c>
      <c r="R17" s="367">
        <v>4</v>
      </c>
      <c r="S17" s="367">
        <v>4</v>
      </c>
      <c r="T17" s="367">
        <v>5</v>
      </c>
      <c r="U17" s="367">
        <v>5</v>
      </c>
      <c r="V17" s="367">
        <v>4</v>
      </c>
      <c r="W17" s="367">
        <v>4</v>
      </c>
      <c r="X17" s="367">
        <v>3</v>
      </c>
      <c r="Y17" s="367">
        <v>3</v>
      </c>
      <c r="Z17" s="367">
        <v>7</v>
      </c>
      <c r="AA17" s="367">
        <v>7</v>
      </c>
      <c r="AB17" s="367">
        <v>5</v>
      </c>
      <c r="AC17" s="367">
        <v>5</v>
      </c>
      <c r="AD17" s="367">
        <v>7</v>
      </c>
      <c r="AE17" s="367">
        <v>7</v>
      </c>
      <c r="AF17" s="367">
        <v>4</v>
      </c>
      <c r="AG17" s="367">
        <v>4</v>
      </c>
      <c r="AH17" s="367">
        <v>7</v>
      </c>
      <c r="AI17" s="367">
        <v>7</v>
      </c>
      <c r="AJ17" s="367">
        <v>4</v>
      </c>
      <c r="AK17" s="367">
        <v>4</v>
      </c>
      <c r="AL17" s="367">
        <v>3</v>
      </c>
      <c r="AM17" s="367">
        <v>3</v>
      </c>
      <c r="AN17" s="367">
        <v>12</v>
      </c>
      <c r="AO17" s="367">
        <v>12</v>
      </c>
      <c r="AP17" s="367">
        <v>5</v>
      </c>
      <c r="AQ17" s="367">
        <v>5</v>
      </c>
      <c r="AR17" s="367">
        <v>6</v>
      </c>
      <c r="AS17" s="367">
        <v>6</v>
      </c>
      <c r="AT17" s="367">
        <v>4</v>
      </c>
      <c r="AU17" s="367">
        <v>4</v>
      </c>
      <c r="AV17" s="367">
        <v>8</v>
      </c>
      <c r="AW17" s="367">
        <v>8</v>
      </c>
      <c r="AX17" s="367">
        <v>8</v>
      </c>
      <c r="AY17" s="367">
        <v>8</v>
      </c>
      <c r="AZ17" s="367">
        <v>44</v>
      </c>
      <c r="BA17" s="367">
        <v>44</v>
      </c>
      <c r="BB17" s="367">
        <v>43</v>
      </c>
      <c r="BC17" s="367">
        <v>43</v>
      </c>
      <c r="BD17" s="367">
        <v>6</v>
      </c>
      <c r="BE17" s="367">
        <v>6</v>
      </c>
      <c r="BF17" s="367">
        <v>11</v>
      </c>
      <c r="BG17" s="367">
        <v>11</v>
      </c>
      <c r="BH17" s="367">
        <v>2</v>
      </c>
      <c r="BI17" s="367">
        <v>2</v>
      </c>
      <c r="BJ17" s="367">
        <v>1</v>
      </c>
      <c r="BK17" s="367">
        <v>1</v>
      </c>
      <c r="BL17" s="367">
        <v>9</v>
      </c>
      <c r="BM17" s="367">
        <v>9</v>
      </c>
      <c r="BN17" s="367">
        <v>7</v>
      </c>
      <c r="BO17" s="367">
        <v>7</v>
      </c>
      <c r="BP17" s="367">
        <v>18</v>
      </c>
      <c r="BQ17" s="367">
        <v>18</v>
      </c>
      <c r="BR17" s="367">
        <v>5</v>
      </c>
      <c r="BS17" s="367">
        <v>5</v>
      </c>
      <c r="BT17" s="367">
        <v>15</v>
      </c>
      <c r="BU17" s="367">
        <v>15</v>
      </c>
      <c r="BV17" s="367">
        <v>8</v>
      </c>
      <c r="BW17" s="367">
        <v>8</v>
      </c>
      <c r="BX17" s="367">
        <v>8</v>
      </c>
      <c r="BY17" s="367">
        <v>8</v>
      </c>
      <c r="BZ17" s="367">
        <v>4</v>
      </c>
      <c r="CA17" s="367">
        <v>4</v>
      </c>
      <c r="CB17" s="367">
        <v>14</v>
      </c>
      <c r="CC17" s="367">
        <v>14</v>
      </c>
      <c r="CD17" s="367">
        <v>8</v>
      </c>
      <c r="CE17" s="367">
        <v>8</v>
      </c>
      <c r="CF17" s="367">
        <v>7</v>
      </c>
      <c r="CG17" s="367">
        <v>7</v>
      </c>
      <c r="CH17" s="367">
        <v>2</v>
      </c>
      <c r="CI17" s="367">
        <v>2</v>
      </c>
      <c r="CJ17" s="367">
        <v>15</v>
      </c>
      <c r="CK17" s="367">
        <v>15</v>
      </c>
      <c r="CL17" s="367">
        <v>5</v>
      </c>
      <c r="CM17" s="367">
        <v>5</v>
      </c>
      <c r="CN17" s="367">
        <v>10</v>
      </c>
      <c r="CO17" s="367">
        <v>10</v>
      </c>
      <c r="CP17" s="367">
        <v>7</v>
      </c>
      <c r="CQ17" s="367">
        <v>7</v>
      </c>
      <c r="CR17" s="367">
        <v>5</v>
      </c>
      <c r="CS17" s="367">
        <v>5</v>
      </c>
      <c r="CT17" s="367">
        <v>7</v>
      </c>
      <c r="CU17" s="367">
        <v>7</v>
      </c>
      <c r="CV17" s="367">
        <v>14</v>
      </c>
      <c r="CW17" s="367">
        <v>14</v>
      </c>
      <c r="CX17" s="367">
        <v>4</v>
      </c>
      <c r="CY17" s="367">
        <v>4</v>
      </c>
      <c r="CZ17" s="367">
        <v>38</v>
      </c>
      <c r="DA17" s="367">
        <v>38</v>
      </c>
      <c r="DB17" s="367">
        <v>13</v>
      </c>
      <c r="DC17" s="367">
        <v>13</v>
      </c>
      <c r="DD17" s="367">
        <v>3</v>
      </c>
      <c r="DE17" s="367">
        <v>3</v>
      </c>
      <c r="DF17" s="367">
        <v>23</v>
      </c>
      <c r="DG17" s="367">
        <v>23</v>
      </c>
      <c r="DH17" s="367">
        <v>17</v>
      </c>
      <c r="DI17" s="367">
        <v>17</v>
      </c>
      <c r="DJ17" s="367">
        <v>9</v>
      </c>
      <c r="DK17" s="367">
        <v>9</v>
      </c>
      <c r="DL17" s="367">
        <v>12</v>
      </c>
      <c r="DM17" s="367">
        <v>12</v>
      </c>
      <c r="DN17" s="367"/>
      <c r="DO17" s="367"/>
      <c r="DP17" s="367">
        <v>548</v>
      </c>
      <c r="DQ17" s="367">
        <v>548</v>
      </c>
    </row>
    <row r="18" spans="1:1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9"/>
    <col min="2" max="2" width="28.69921875" style="159" customWidth="1"/>
    <col min="3" max="3" width="5.69921875" style="389" customWidth="1"/>
    <col min="4" max="5" width="8" style="389" customWidth="1"/>
    <col min="6" max="6" width="8.19921875" style="389" customWidth="1"/>
    <col min="7" max="7" width="9.09765625" style="389" bestFit="1" customWidth="1"/>
    <col min="8" max="8" width="5.69921875" style="389" bestFit="1" customWidth="1"/>
    <col min="9" max="9" width="10.19921875" style="389" bestFit="1" customWidth="1"/>
    <col min="10" max="10" width="8.69921875" style="389" customWidth="1"/>
    <col min="11" max="11" width="4.69921875" style="389" bestFit="1" customWidth="1"/>
    <col min="12" max="12" width="5.69921875" style="389" bestFit="1" customWidth="1"/>
    <col min="13" max="14" width="4.69921875" style="389" customWidth="1"/>
    <col min="15" max="15" width="7" style="396" customWidth="1"/>
    <col min="16" max="16" width="8" style="405" customWidth="1"/>
    <col min="17" max="17" width="12.59765625" style="405" customWidth="1"/>
    <col min="18" max="18" width="5.69921875" style="159" bestFit="1" customWidth="1"/>
    <col min="19" max="19" width="7.3984375" style="159" bestFit="1" customWidth="1"/>
    <col min="20" max="20" width="12.59765625" style="159" bestFit="1" customWidth="1"/>
    <col min="21" max="21" width="7.3984375" style="159" bestFit="1" customWidth="1"/>
    <col min="22" max="16384" width="8.69921875" style="159"/>
  </cols>
  <sheetData>
    <row r="1" spans="1:21" s="409" customFormat="1" ht="52" customHeight="1" x14ac:dyDescent="0.3">
      <c r="C1" s="410"/>
      <c r="D1" s="410"/>
      <c r="E1" s="410"/>
      <c r="F1" s="412" t="s">
        <v>2569</v>
      </c>
      <c r="G1" s="410"/>
      <c r="H1" s="410"/>
      <c r="I1" s="418" t="s">
        <v>2568</v>
      </c>
      <c r="J1" s="616" t="s">
        <v>2566</v>
      </c>
      <c r="K1" s="616"/>
      <c r="L1" s="616"/>
      <c r="M1" s="426" t="s">
        <v>2567</v>
      </c>
      <c r="N1" s="426"/>
      <c r="O1" s="427"/>
      <c r="P1" s="427"/>
      <c r="Q1" s="427"/>
      <c r="R1" s="427"/>
      <c r="S1" s="427"/>
    </row>
    <row r="2" spans="1:21" s="390" customFormat="1" ht="34.5" x14ac:dyDescent="0.3">
      <c r="A2" s="392"/>
      <c r="B2" s="392"/>
      <c r="C2" s="393" t="s">
        <v>2543</v>
      </c>
      <c r="D2" s="393" t="s">
        <v>2545</v>
      </c>
      <c r="E2" s="393" t="s">
        <v>2544</v>
      </c>
      <c r="F2" s="417" t="s">
        <v>2546</v>
      </c>
      <c r="G2" s="393" t="s">
        <v>2427</v>
      </c>
      <c r="H2" s="394" t="s">
        <v>2547</v>
      </c>
      <c r="I2" s="416" t="s">
        <v>2548</v>
      </c>
      <c r="J2" s="415" t="s">
        <v>2544</v>
      </c>
      <c r="K2" s="415" t="s">
        <v>2561</v>
      </c>
      <c r="L2" s="415" t="s">
        <v>2560</v>
      </c>
      <c r="M2" s="413" t="s">
        <v>2572</v>
      </c>
      <c r="N2" s="413" t="s">
        <v>2573</v>
      </c>
      <c r="O2" s="414" t="s">
        <v>2549</v>
      </c>
      <c r="P2" s="414" t="s">
        <v>2580</v>
      </c>
      <c r="Q2" s="414" t="s">
        <v>2581</v>
      </c>
      <c r="R2" s="435" t="s">
        <v>2583</v>
      </c>
      <c r="S2" s="413" t="s">
        <v>2565</v>
      </c>
      <c r="T2" s="393" t="s">
        <v>2562</v>
      </c>
      <c r="U2" s="392"/>
    </row>
    <row r="3" spans="1:21" s="433" customFormat="1" ht="11" x14ac:dyDescent="0.25">
      <c r="C3" s="423"/>
      <c r="D3" s="423"/>
      <c r="E3" s="423"/>
      <c r="F3" s="423">
        <v>1</v>
      </c>
      <c r="G3" s="423"/>
      <c r="H3" s="423"/>
      <c r="I3" s="423">
        <v>2</v>
      </c>
      <c r="J3" s="423">
        <v>3</v>
      </c>
      <c r="K3" s="423">
        <v>4</v>
      </c>
      <c r="L3" s="423"/>
      <c r="M3" s="423">
        <v>5</v>
      </c>
      <c r="N3" s="423">
        <v>6</v>
      </c>
      <c r="O3" s="434">
        <v>7</v>
      </c>
      <c r="P3" s="434"/>
      <c r="Q3" s="434"/>
      <c r="S3" s="423"/>
    </row>
    <row r="4" spans="1:21" x14ac:dyDescent="0.3">
      <c r="A4" s="388" t="s">
        <v>77</v>
      </c>
      <c r="B4" s="388"/>
      <c r="C4" s="391">
        <v>16</v>
      </c>
      <c r="D4" s="391">
        <v>16</v>
      </c>
      <c r="E4" s="391">
        <v>16</v>
      </c>
      <c r="F4" s="391"/>
      <c r="G4" s="391">
        <f>統計tmp!BE6</f>
        <v>0</v>
      </c>
      <c r="H4" s="391">
        <f>統計tmp!BD6</f>
        <v>0</v>
      </c>
      <c r="I4" s="391"/>
      <c r="J4" s="391"/>
      <c r="K4" s="391" t="str">
        <f t="shared" ref="K4:K10" si="0">IF(J4="V",C4,"")</f>
        <v/>
      </c>
      <c r="L4" s="391"/>
      <c r="M4" s="391"/>
      <c r="N4" s="391"/>
      <c r="O4" s="402"/>
      <c r="P4" s="406"/>
      <c r="Q4" s="406"/>
      <c r="R4" s="388"/>
      <c r="S4" s="388"/>
    </row>
    <row r="5" spans="1:21" x14ac:dyDescent="0.3">
      <c r="B5" s="159" t="s">
        <v>2473</v>
      </c>
      <c r="C5" s="389">
        <v>11</v>
      </c>
      <c r="D5" s="389">
        <v>11</v>
      </c>
      <c r="E5" s="389">
        <v>11</v>
      </c>
      <c r="F5" s="389">
        <v>11</v>
      </c>
      <c r="G5" s="389">
        <f>統計tmp!BE7</f>
        <v>0</v>
      </c>
      <c r="H5" s="389">
        <f>統計tmp!BD7</f>
        <v>0</v>
      </c>
      <c r="K5" s="389" t="str">
        <f t="shared" si="0"/>
        <v/>
      </c>
      <c r="L5" s="389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 x14ac:dyDescent="0.3">
      <c r="B6" s="159" t="s">
        <v>2475</v>
      </c>
      <c r="C6" s="389">
        <v>2</v>
      </c>
      <c r="D6" s="389">
        <v>2</v>
      </c>
      <c r="E6" s="389">
        <v>2</v>
      </c>
      <c r="F6" s="389">
        <v>2</v>
      </c>
      <c r="G6" s="389">
        <f>統計tmp!BE8</f>
        <v>0</v>
      </c>
      <c r="H6" s="389">
        <f>統計tmp!BD8</f>
        <v>0</v>
      </c>
      <c r="K6" s="389" t="str">
        <f t="shared" si="0"/>
        <v/>
      </c>
      <c r="L6" s="389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 x14ac:dyDescent="0.3">
      <c r="B7" s="159" t="s">
        <v>2474</v>
      </c>
      <c r="C7" s="389">
        <v>2</v>
      </c>
      <c r="D7" s="389">
        <v>2</v>
      </c>
      <c r="E7" s="389">
        <v>2</v>
      </c>
      <c r="F7" s="389">
        <v>2</v>
      </c>
      <c r="G7" s="389">
        <f>統計tmp!BE9</f>
        <v>6</v>
      </c>
      <c r="H7" s="389">
        <f>統計tmp!BD9</f>
        <v>6</v>
      </c>
      <c r="K7" s="389" t="str">
        <f t="shared" si="0"/>
        <v/>
      </c>
      <c r="L7" s="389">
        <f t="shared" si="1"/>
        <v>0</v>
      </c>
      <c r="R7" s="159">
        <f t="shared" si="2"/>
        <v>0</v>
      </c>
      <c r="S7" s="159">
        <f t="shared" si="3"/>
        <v>0</v>
      </c>
    </row>
    <row r="8" spans="1:21" x14ac:dyDescent="0.3">
      <c r="B8" s="159" t="s">
        <v>2542</v>
      </c>
      <c r="C8" s="389">
        <v>1</v>
      </c>
      <c r="D8" s="389">
        <v>1</v>
      </c>
      <c r="E8" s="389">
        <v>1</v>
      </c>
      <c r="F8" s="389">
        <v>1</v>
      </c>
      <c r="G8" s="389">
        <f>統計tmp!BE10</f>
        <v>0</v>
      </c>
      <c r="H8" s="389">
        <f>統計tmp!BD10</f>
        <v>0</v>
      </c>
      <c r="K8" s="389" t="str">
        <f t="shared" si="0"/>
        <v/>
      </c>
      <c r="L8" s="389">
        <f t="shared" si="1"/>
        <v>0</v>
      </c>
      <c r="R8" s="159">
        <f t="shared" si="2"/>
        <v>0</v>
      </c>
      <c r="S8" s="159">
        <f t="shared" si="3"/>
        <v>0</v>
      </c>
    </row>
    <row r="9" spans="1:21" x14ac:dyDescent="0.3">
      <c r="A9" s="388" t="s">
        <v>78</v>
      </c>
      <c r="B9" s="388"/>
      <c r="C9" s="391">
        <v>78</v>
      </c>
      <c r="D9" s="391">
        <v>78</v>
      </c>
      <c r="E9" s="391">
        <v>62</v>
      </c>
      <c r="F9" s="391"/>
      <c r="G9" s="391">
        <f>統計tmp!BE11</f>
        <v>0</v>
      </c>
      <c r="H9" s="391">
        <f>統計tmp!BD11</f>
        <v>0</v>
      </c>
      <c r="I9" s="391"/>
      <c r="J9" s="391"/>
      <c r="K9" s="391" t="str">
        <f t="shared" si="0"/>
        <v/>
      </c>
      <c r="L9" s="391"/>
      <c r="M9" s="391"/>
      <c r="N9" s="391"/>
      <c r="O9" s="402"/>
      <c r="P9" s="406"/>
      <c r="Q9" s="406"/>
      <c r="R9" s="388"/>
      <c r="S9" s="388"/>
    </row>
    <row r="10" spans="1:21" x14ac:dyDescent="0.3">
      <c r="B10" s="159" t="s">
        <v>2471</v>
      </c>
      <c r="C10" s="389">
        <v>2</v>
      </c>
      <c r="D10" s="389">
        <v>2</v>
      </c>
      <c r="E10" s="389">
        <v>2</v>
      </c>
      <c r="G10" s="389">
        <f>統計tmp!BE12</f>
        <v>0</v>
      </c>
      <c r="H10" s="389">
        <f>統計tmp!BD12</f>
        <v>0</v>
      </c>
      <c r="I10" s="389">
        <v>2</v>
      </c>
      <c r="K10" s="389" t="str">
        <f t="shared" si="0"/>
        <v/>
      </c>
      <c r="L10" s="389">
        <f t="shared" si="1"/>
        <v>0</v>
      </c>
      <c r="P10" s="405" t="s">
        <v>2470</v>
      </c>
      <c r="Q10" s="405" t="s">
        <v>2470</v>
      </c>
      <c r="R10" s="159">
        <f t="shared" si="2"/>
        <v>0</v>
      </c>
      <c r="S10" s="159">
        <f>SUM(O10:Q10)</f>
        <v>0</v>
      </c>
    </row>
    <row r="11" spans="1:21" x14ac:dyDescent="0.3">
      <c r="B11" s="159" t="s">
        <v>2472</v>
      </c>
      <c r="C11" s="389">
        <v>20</v>
      </c>
      <c r="D11" s="389">
        <v>20</v>
      </c>
      <c r="E11" s="401">
        <v>18</v>
      </c>
      <c r="G11" s="389">
        <f>統計tmp!BE13</f>
        <v>0</v>
      </c>
      <c r="H11" s="389">
        <f>統計tmp!BD13</f>
        <v>0</v>
      </c>
      <c r="J11" s="389">
        <v>18</v>
      </c>
      <c r="K11" s="389">
        <v>2</v>
      </c>
      <c r="L11" s="389">
        <f>SUM(J11:K11)</f>
        <v>20</v>
      </c>
      <c r="P11" s="405" t="s">
        <v>2470</v>
      </c>
      <c r="Q11" s="405" t="s">
        <v>2470</v>
      </c>
      <c r="R11" s="159">
        <f t="shared" si="2"/>
        <v>0</v>
      </c>
      <c r="S11" s="159">
        <f t="shared" ref="S11:S17" si="4">SUM(O11:Q11)</f>
        <v>0</v>
      </c>
    </row>
    <row r="12" spans="1:21" x14ac:dyDescent="0.3">
      <c r="B12" s="159" t="s">
        <v>2517</v>
      </c>
      <c r="C12" s="389">
        <v>10</v>
      </c>
      <c r="D12" s="389">
        <v>10</v>
      </c>
      <c r="E12" s="401">
        <v>10</v>
      </c>
      <c r="G12" s="389">
        <f>統計tmp!BE14</f>
        <v>0</v>
      </c>
      <c r="H12" s="389">
        <f>統計tmp!BD14</f>
        <v>0</v>
      </c>
      <c r="I12" s="389">
        <v>10</v>
      </c>
      <c r="K12" s="389" t="str">
        <f>IF(J12="V",C12,"")</f>
        <v/>
      </c>
      <c r="L12" s="389">
        <f t="shared" ref="L12:L65" si="5">SUM(J12:K12)</f>
        <v>0</v>
      </c>
      <c r="P12" s="405" t="s">
        <v>2470</v>
      </c>
      <c r="Q12" s="405" t="s">
        <v>2470</v>
      </c>
      <c r="R12" s="159">
        <f t="shared" si="2"/>
        <v>0</v>
      </c>
      <c r="S12" s="159">
        <f t="shared" si="4"/>
        <v>0</v>
      </c>
    </row>
    <row r="13" spans="1:21" x14ac:dyDescent="0.3">
      <c r="B13" s="159" t="s">
        <v>2518</v>
      </c>
      <c r="C13" s="389">
        <v>19</v>
      </c>
      <c r="D13" s="389">
        <v>19</v>
      </c>
      <c r="E13" s="401">
        <v>10</v>
      </c>
      <c r="G13" s="389">
        <f>統計tmp!BE15</f>
        <v>0</v>
      </c>
      <c r="H13" s="389">
        <f>統計tmp!BD15</f>
        <v>0</v>
      </c>
      <c r="J13" s="389">
        <v>10</v>
      </c>
      <c r="K13" s="389">
        <v>9</v>
      </c>
      <c r="L13" s="389">
        <f t="shared" si="5"/>
        <v>19</v>
      </c>
      <c r="P13" s="405" t="s">
        <v>2470</v>
      </c>
      <c r="Q13" s="405" t="s">
        <v>2470</v>
      </c>
      <c r="R13" s="159">
        <f t="shared" si="2"/>
        <v>0</v>
      </c>
      <c r="S13" s="159">
        <f t="shared" si="4"/>
        <v>0</v>
      </c>
    </row>
    <row r="14" spans="1:21" x14ac:dyDescent="0.3">
      <c r="B14" s="159" t="s">
        <v>2519</v>
      </c>
      <c r="C14" s="389">
        <v>9</v>
      </c>
      <c r="D14" s="389">
        <v>9</v>
      </c>
      <c r="E14" s="389">
        <v>9</v>
      </c>
      <c r="G14" s="389">
        <f>統計tmp!BE16</f>
        <v>0</v>
      </c>
      <c r="H14" s="389">
        <f>統計tmp!BD16</f>
        <v>0</v>
      </c>
      <c r="I14" s="389">
        <v>9</v>
      </c>
      <c r="K14" s="389" t="str">
        <f>IF(J14="V",C14,"")</f>
        <v/>
      </c>
      <c r="L14" s="389">
        <f t="shared" si="5"/>
        <v>0</v>
      </c>
      <c r="P14" s="405" t="s">
        <v>2470</v>
      </c>
      <c r="Q14" s="405" t="s">
        <v>2470</v>
      </c>
      <c r="R14" s="159">
        <f t="shared" si="2"/>
        <v>0</v>
      </c>
      <c r="S14" s="159">
        <f t="shared" si="4"/>
        <v>0</v>
      </c>
    </row>
    <row r="15" spans="1:21" x14ac:dyDescent="0.3">
      <c r="B15" s="159" t="s">
        <v>2520</v>
      </c>
      <c r="C15" s="389">
        <v>6</v>
      </c>
      <c r="D15" s="389">
        <v>6</v>
      </c>
      <c r="E15" s="389">
        <v>3</v>
      </c>
      <c r="G15" s="389">
        <f>統計tmp!BE17</f>
        <v>6</v>
      </c>
      <c r="H15" s="389">
        <f>統計tmp!BD17</f>
        <v>6</v>
      </c>
      <c r="K15" s="389" t="str">
        <f>IF(J15="V",C15,"")</f>
        <v/>
      </c>
      <c r="L15" s="389">
        <f t="shared" si="5"/>
        <v>0</v>
      </c>
      <c r="M15" s="389">
        <v>2</v>
      </c>
      <c r="N15" s="389">
        <v>1</v>
      </c>
      <c r="P15" s="405">
        <v>3</v>
      </c>
      <c r="Q15" s="405" t="s">
        <v>2470</v>
      </c>
      <c r="R15" s="159">
        <f t="shared" si="2"/>
        <v>6</v>
      </c>
      <c r="S15" s="159">
        <f t="shared" si="4"/>
        <v>3</v>
      </c>
      <c r="T15" s="159" t="s">
        <v>2563</v>
      </c>
    </row>
    <row r="16" spans="1:21" x14ac:dyDescent="0.3">
      <c r="B16" s="159" t="s">
        <v>2521</v>
      </c>
      <c r="C16" s="389">
        <v>11</v>
      </c>
      <c r="D16" s="389">
        <v>11</v>
      </c>
      <c r="E16" s="401">
        <v>9</v>
      </c>
      <c r="G16" s="389">
        <f>統計tmp!BE18</f>
        <v>0</v>
      </c>
      <c r="H16" s="389">
        <f>統計tmp!BD18</f>
        <v>0</v>
      </c>
      <c r="J16" s="389">
        <v>9</v>
      </c>
      <c r="K16" s="389">
        <v>2</v>
      </c>
      <c r="L16" s="389">
        <f t="shared" si="5"/>
        <v>11</v>
      </c>
      <c r="P16" s="405" t="s">
        <v>2470</v>
      </c>
      <c r="Q16" s="405" t="s">
        <v>2470</v>
      </c>
      <c r="R16" s="159">
        <f t="shared" si="2"/>
        <v>0</v>
      </c>
      <c r="S16" s="159">
        <f t="shared" si="4"/>
        <v>0</v>
      </c>
    </row>
    <row r="17" spans="1:20" x14ac:dyDescent="0.3">
      <c r="B17" s="159" t="s">
        <v>810</v>
      </c>
      <c r="C17" s="389">
        <v>1</v>
      </c>
      <c r="D17" s="389">
        <v>1</v>
      </c>
      <c r="E17" s="389">
        <v>1</v>
      </c>
      <c r="G17" s="389">
        <f>統計tmp!BE19</f>
        <v>0</v>
      </c>
      <c r="H17" s="389">
        <f>統計tmp!BD19</f>
        <v>0</v>
      </c>
      <c r="I17" s="389">
        <v>1</v>
      </c>
      <c r="K17" s="389" t="str">
        <f t="shared" ref="K17:K34" si="6">IF(J17="V",C17,"")</f>
        <v/>
      </c>
      <c r="L17" s="389">
        <f t="shared" si="5"/>
        <v>0</v>
      </c>
      <c r="P17" s="405" t="s">
        <v>2470</v>
      </c>
      <c r="Q17" s="405" t="s">
        <v>2470</v>
      </c>
      <c r="R17" s="159">
        <f t="shared" si="2"/>
        <v>0</v>
      </c>
      <c r="S17" s="159">
        <f t="shared" si="4"/>
        <v>0</v>
      </c>
    </row>
    <row r="18" spans="1:20" x14ac:dyDescent="0.3">
      <c r="A18" s="388" t="s">
        <v>79</v>
      </c>
      <c r="B18" s="388"/>
      <c r="C18" s="391">
        <v>38</v>
      </c>
      <c r="D18" s="391">
        <v>38</v>
      </c>
      <c r="E18" s="391">
        <v>36</v>
      </c>
      <c r="F18" s="391"/>
      <c r="G18" s="391">
        <f>統計tmp!BE20</f>
        <v>0</v>
      </c>
      <c r="H18" s="391">
        <f>統計tmp!BD20</f>
        <v>0</v>
      </c>
      <c r="I18" s="391"/>
      <c r="J18" s="391"/>
      <c r="K18" s="391" t="str">
        <f t="shared" si="6"/>
        <v/>
      </c>
      <c r="L18" s="391"/>
      <c r="M18" s="391"/>
      <c r="N18" s="391"/>
      <c r="O18" s="402"/>
      <c r="P18" s="406" t="s">
        <v>2470</v>
      </c>
      <c r="Q18" s="406" t="s">
        <v>2470</v>
      </c>
      <c r="R18" s="388"/>
      <c r="S18" s="388"/>
    </row>
    <row r="19" spans="1:20" x14ac:dyDescent="0.3">
      <c r="B19" s="159" t="s">
        <v>2522</v>
      </c>
      <c r="C19" s="389">
        <v>7</v>
      </c>
      <c r="D19" s="389">
        <v>7</v>
      </c>
      <c r="E19" s="389">
        <v>7</v>
      </c>
      <c r="F19" s="389">
        <v>7</v>
      </c>
      <c r="G19" s="389">
        <f>統計tmp!BE21</f>
        <v>0</v>
      </c>
      <c r="H19" s="389">
        <f>統計tmp!BD21</f>
        <v>0</v>
      </c>
      <c r="K19" s="389" t="str">
        <f t="shared" si="6"/>
        <v/>
      </c>
      <c r="L19" s="389">
        <f t="shared" si="5"/>
        <v>0</v>
      </c>
      <c r="P19" s="405" t="s">
        <v>2470</v>
      </c>
      <c r="Q19" s="405" t="s">
        <v>2470</v>
      </c>
      <c r="R19" s="159">
        <f t="shared" si="2"/>
        <v>0</v>
      </c>
      <c r="S19" s="159">
        <f>SUM(O19:Q19)</f>
        <v>0</v>
      </c>
    </row>
    <row r="20" spans="1:20" x14ac:dyDescent="0.3">
      <c r="B20" s="159" t="s">
        <v>2523</v>
      </c>
      <c r="C20" s="389">
        <v>9</v>
      </c>
      <c r="D20" s="389">
        <v>9</v>
      </c>
      <c r="E20" s="389">
        <v>9</v>
      </c>
      <c r="F20" s="389">
        <v>9</v>
      </c>
      <c r="G20" s="389">
        <f>統計tmp!BE22</f>
        <v>0</v>
      </c>
      <c r="H20" s="389">
        <f>統計tmp!BD22</f>
        <v>0</v>
      </c>
      <c r="K20" s="389" t="str">
        <f t="shared" si="6"/>
        <v/>
      </c>
      <c r="L20" s="389">
        <f t="shared" si="5"/>
        <v>0</v>
      </c>
      <c r="P20" s="405" t="s">
        <v>2470</v>
      </c>
      <c r="Q20" s="405" t="s">
        <v>2470</v>
      </c>
      <c r="R20" s="159">
        <f t="shared" si="2"/>
        <v>0</v>
      </c>
      <c r="S20" s="159">
        <f t="shared" ref="S20:S23" si="7">SUM(O20:Q20)</f>
        <v>0</v>
      </c>
    </row>
    <row r="21" spans="1:20" x14ac:dyDescent="0.3">
      <c r="B21" s="159" t="s">
        <v>1410</v>
      </c>
      <c r="C21" s="389">
        <v>16</v>
      </c>
      <c r="D21" s="389">
        <v>16</v>
      </c>
      <c r="E21" s="389">
        <v>14</v>
      </c>
      <c r="F21" s="389">
        <v>14</v>
      </c>
      <c r="G21" s="389">
        <f>統計tmp!BE23</f>
        <v>0</v>
      </c>
      <c r="H21" s="389">
        <f>統計tmp!BD23</f>
        <v>0</v>
      </c>
      <c r="I21" s="389">
        <v>2</v>
      </c>
      <c r="K21" s="389" t="str">
        <f t="shared" si="6"/>
        <v/>
      </c>
      <c r="L21" s="389">
        <f t="shared" si="5"/>
        <v>0</v>
      </c>
      <c r="P21" s="405" t="s">
        <v>2470</v>
      </c>
      <c r="Q21" s="405" t="s">
        <v>2470</v>
      </c>
      <c r="R21" s="159">
        <f t="shared" si="2"/>
        <v>0</v>
      </c>
      <c r="S21" s="159">
        <f t="shared" si="7"/>
        <v>0</v>
      </c>
      <c r="T21" s="159" t="s">
        <v>2460</v>
      </c>
    </row>
    <row r="22" spans="1:20" x14ac:dyDescent="0.3">
      <c r="B22" s="159" t="s">
        <v>2524</v>
      </c>
      <c r="C22" s="389">
        <v>3</v>
      </c>
      <c r="D22" s="389">
        <v>3</v>
      </c>
      <c r="E22" s="389">
        <v>3</v>
      </c>
      <c r="F22" s="389">
        <v>3</v>
      </c>
      <c r="G22" s="389">
        <f>統計tmp!BE24</f>
        <v>0</v>
      </c>
      <c r="H22" s="389">
        <f>統計tmp!BD24</f>
        <v>0</v>
      </c>
      <c r="K22" s="389" t="str">
        <f t="shared" si="6"/>
        <v/>
      </c>
      <c r="L22" s="389">
        <f t="shared" si="5"/>
        <v>0</v>
      </c>
      <c r="P22" s="405" t="s">
        <v>2470</v>
      </c>
      <c r="Q22" s="405" t="s">
        <v>2470</v>
      </c>
      <c r="R22" s="159">
        <f t="shared" si="2"/>
        <v>0</v>
      </c>
      <c r="S22" s="159">
        <f t="shared" si="7"/>
        <v>0</v>
      </c>
    </row>
    <row r="23" spans="1:20" x14ac:dyDescent="0.3">
      <c r="B23" s="159" t="s">
        <v>2525</v>
      </c>
      <c r="C23" s="389">
        <v>3</v>
      </c>
      <c r="D23" s="389">
        <v>3</v>
      </c>
      <c r="E23" s="389">
        <v>3</v>
      </c>
      <c r="F23" s="389">
        <v>3</v>
      </c>
      <c r="G23" s="389">
        <f>統計tmp!BE25</f>
        <v>0</v>
      </c>
      <c r="H23" s="389">
        <f>統計tmp!BD25</f>
        <v>0</v>
      </c>
      <c r="K23" s="389" t="str">
        <f t="shared" si="6"/>
        <v/>
      </c>
      <c r="L23" s="389">
        <f t="shared" si="5"/>
        <v>0</v>
      </c>
      <c r="P23" s="405" t="s">
        <v>2470</v>
      </c>
      <c r="Q23" s="405" t="s">
        <v>2470</v>
      </c>
      <c r="R23" s="159">
        <f t="shared" si="2"/>
        <v>0</v>
      </c>
      <c r="S23" s="159">
        <f t="shared" si="7"/>
        <v>0</v>
      </c>
    </row>
    <row r="24" spans="1:20" x14ac:dyDescent="0.3">
      <c r="A24" s="388" t="s">
        <v>80</v>
      </c>
      <c r="B24" s="388"/>
      <c r="C24" s="391">
        <v>75</v>
      </c>
      <c r="D24" s="391">
        <v>75</v>
      </c>
      <c r="E24" s="391">
        <v>75</v>
      </c>
      <c r="F24" s="391"/>
      <c r="G24" s="391">
        <f>統計tmp!BE26</f>
        <v>0</v>
      </c>
      <c r="H24" s="391">
        <f>統計tmp!BD26</f>
        <v>0</v>
      </c>
      <c r="I24" s="391"/>
      <c r="J24" s="391"/>
      <c r="K24" s="391" t="str">
        <f t="shared" si="6"/>
        <v/>
      </c>
      <c r="L24" s="391"/>
      <c r="M24" s="391"/>
      <c r="N24" s="391"/>
      <c r="O24" s="402"/>
      <c r="P24" s="406" t="s">
        <v>2470</v>
      </c>
      <c r="Q24" s="406" t="s">
        <v>2470</v>
      </c>
      <c r="R24" s="388"/>
      <c r="S24" s="388"/>
    </row>
    <row r="25" spans="1:20" x14ac:dyDescent="0.3">
      <c r="B25" s="159" t="s">
        <v>354</v>
      </c>
      <c r="C25" s="389">
        <v>5</v>
      </c>
      <c r="D25" s="389">
        <v>5</v>
      </c>
      <c r="E25" s="389">
        <v>5</v>
      </c>
      <c r="G25" s="389">
        <f>統計tmp!BE27</f>
        <v>0</v>
      </c>
      <c r="H25" s="389">
        <f>統計tmp!BD27</f>
        <v>0</v>
      </c>
      <c r="I25" s="389">
        <v>5</v>
      </c>
      <c r="K25" s="389" t="str">
        <f t="shared" si="6"/>
        <v/>
      </c>
      <c r="L25" s="389">
        <f t="shared" si="5"/>
        <v>0</v>
      </c>
      <c r="P25" s="405" t="s">
        <v>2470</v>
      </c>
      <c r="Q25" s="405" t="s">
        <v>2470</v>
      </c>
      <c r="R25" s="159">
        <f t="shared" si="2"/>
        <v>0</v>
      </c>
      <c r="S25" s="159">
        <f>SUM(O25:Q25)</f>
        <v>0</v>
      </c>
    </row>
    <row r="26" spans="1:20" x14ac:dyDescent="0.3">
      <c r="B26" s="159" t="s">
        <v>396</v>
      </c>
      <c r="C26" s="389">
        <v>17</v>
      </c>
      <c r="D26" s="389">
        <v>17</v>
      </c>
      <c r="E26" s="389">
        <v>17</v>
      </c>
      <c r="G26" s="389">
        <f>統計tmp!BE28</f>
        <v>0</v>
      </c>
      <c r="H26" s="389">
        <f>統計tmp!BD28</f>
        <v>0</v>
      </c>
      <c r="K26" s="389" t="str">
        <f t="shared" si="6"/>
        <v/>
      </c>
      <c r="L26" s="389">
        <f t="shared" si="5"/>
        <v>0</v>
      </c>
      <c r="M26" s="389">
        <v>16</v>
      </c>
      <c r="P26" s="405" t="s">
        <v>2470</v>
      </c>
      <c r="Q26" s="405">
        <v>1</v>
      </c>
      <c r="R26" s="159">
        <f t="shared" si="2"/>
        <v>17</v>
      </c>
      <c r="S26" s="159">
        <f t="shared" ref="S26:S33" si="8">SUM(O26:Q26)</f>
        <v>1</v>
      </c>
    </row>
    <row r="27" spans="1:20" x14ac:dyDescent="0.3">
      <c r="B27" s="159" t="s">
        <v>810</v>
      </c>
      <c r="C27" s="389">
        <v>8</v>
      </c>
      <c r="D27" s="389">
        <v>8</v>
      </c>
      <c r="E27" s="389">
        <v>8</v>
      </c>
      <c r="G27" s="389">
        <f>統計tmp!BE29</f>
        <v>0</v>
      </c>
      <c r="H27" s="389">
        <f>統計tmp!BD29</f>
        <v>0</v>
      </c>
      <c r="I27" s="389">
        <v>8</v>
      </c>
      <c r="K27" s="389" t="str">
        <f t="shared" si="6"/>
        <v/>
      </c>
      <c r="L27" s="389">
        <f t="shared" si="5"/>
        <v>0</v>
      </c>
      <c r="P27" s="405" t="s">
        <v>2470</v>
      </c>
      <c r="Q27" s="405" t="s">
        <v>2470</v>
      </c>
      <c r="R27" s="159">
        <f t="shared" si="2"/>
        <v>0</v>
      </c>
      <c r="S27" s="159">
        <f t="shared" si="8"/>
        <v>0</v>
      </c>
    </row>
    <row r="28" spans="1:20" x14ac:dyDescent="0.3">
      <c r="B28" s="159" t="s">
        <v>451</v>
      </c>
      <c r="C28" s="389">
        <v>7</v>
      </c>
      <c r="D28" s="389">
        <v>7</v>
      </c>
      <c r="E28" s="389">
        <v>7</v>
      </c>
      <c r="G28" s="389">
        <f>統計tmp!BE30</f>
        <v>0</v>
      </c>
      <c r="H28" s="389">
        <f>統計tmp!BD30</f>
        <v>0</v>
      </c>
      <c r="K28" s="389" t="str">
        <f t="shared" si="6"/>
        <v/>
      </c>
      <c r="L28" s="389">
        <f t="shared" si="5"/>
        <v>0</v>
      </c>
      <c r="M28" s="389">
        <v>6</v>
      </c>
      <c r="P28" s="405" t="s">
        <v>2470</v>
      </c>
      <c r="Q28" s="405">
        <v>1</v>
      </c>
      <c r="R28" s="159">
        <f t="shared" si="2"/>
        <v>7</v>
      </c>
      <c r="S28" s="159">
        <f t="shared" si="8"/>
        <v>1</v>
      </c>
    </row>
    <row r="29" spans="1:20" x14ac:dyDescent="0.3">
      <c r="B29" s="159" t="s">
        <v>364</v>
      </c>
      <c r="C29" s="389">
        <v>10</v>
      </c>
      <c r="D29" s="389">
        <v>10</v>
      </c>
      <c r="E29" s="389">
        <v>10</v>
      </c>
      <c r="G29" s="389">
        <f>統計tmp!BE31</f>
        <v>0</v>
      </c>
      <c r="H29" s="389">
        <f>統計tmp!BD31</f>
        <v>0</v>
      </c>
      <c r="I29" s="389">
        <v>10</v>
      </c>
      <c r="K29" s="389" t="str">
        <f t="shared" si="6"/>
        <v/>
      </c>
      <c r="L29" s="389">
        <f t="shared" si="5"/>
        <v>0</v>
      </c>
      <c r="P29" s="405" t="s">
        <v>2470</v>
      </c>
      <c r="Q29" s="405" t="s">
        <v>2470</v>
      </c>
      <c r="R29" s="159">
        <f t="shared" si="2"/>
        <v>0</v>
      </c>
      <c r="S29" s="159">
        <f t="shared" si="8"/>
        <v>0</v>
      </c>
    </row>
    <row r="30" spans="1:20" x14ac:dyDescent="0.3">
      <c r="B30" s="159" t="s">
        <v>610</v>
      </c>
      <c r="C30" s="389">
        <v>7</v>
      </c>
      <c r="D30" s="389">
        <v>7</v>
      </c>
      <c r="E30" s="389">
        <v>7</v>
      </c>
      <c r="G30" s="389">
        <f>統計tmp!BE32</f>
        <v>0</v>
      </c>
      <c r="H30" s="389">
        <f>統計tmp!BD32</f>
        <v>0</v>
      </c>
      <c r="K30" s="389" t="str">
        <f t="shared" si="6"/>
        <v/>
      </c>
      <c r="L30" s="389">
        <f t="shared" si="5"/>
        <v>0</v>
      </c>
      <c r="M30" s="389">
        <v>6</v>
      </c>
      <c r="P30" s="405" t="s">
        <v>2470</v>
      </c>
      <c r="Q30" s="405">
        <v>1</v>
      </c>
      <c r="R30" s="159">
        <f t="shared" si="2"/>
        <v>7</v>
      </c>
      <c r="S30" s="159">
        <f t="shared" si="8"/>
        <v>1</v>
      </c>
    </row>
    <row r="31" spans="1:20" x14ac:dyDescent="0.3">
      <c r="B31" s="159" t="s">
        <v>628</v>
      </c>
      <c r="C31" s="389">
        <v>1</v>
      </c>
      <c r="D31" s="389">
        <v>1</v>
      </c>
      <c r="E31" s="389">
        <v>1</v>
      </c>
      <c r="G31" s="389">
        <f>統計tmp!BE33</f>
        <v>0</v>
      </c>
      <c r="H31" s="389">
        <f>統計tmp!BD33</f>
        <v>0</v>
      </c>
      <c r="I31" s="389">
        <v>1</v>
      </c>
      <c r="K31" s="389" t="str">
        <f t="shared" si="6"/>
        <v/>
      </c>
      <c r="L31" s="389">
        <f t="shared" si="5"/>
        <v>0</v>
      </c>
      <c r="P31" s="405" t="s">
        <v>2470</v>
      </c>
      <c r="Q31" s="405" t="s">
        <v>2470</v>
      </c>
      <c r="R31" s="159">
        <f t="shared" si="2"/>
        <v>0</v>
      </c>
      <c r="S31" s="159">
        <f t="shared" si="8"/>
        <v>0</v>
      </c>
    </row>
    <row r="32" spans="1:20" x14ac:dyDescent="0.3">
      <c r="B32" s="159" t="s">
        <v>425</v>
      </c>
      <c r="C32" s="389">
        <v>17</v>
      </c>
      <c r="D32" s="389">
        <v>17</v>
      </c>
      <c r="E32" s="389">
        <v>17</v>
      </c>
      <c r="G32" s="389">
        <f>統計tmp!BE34</f>
        <v>0</v>
      </c>
      <c r="H32" s="389">
        <f>統計tmp!BD34</f>
        <v>0</v>
      </c>
      <c r="K32" s="389" t="str">
        <f t="shared" si="6"/>
        <v/>
      </c>
      <c r="L32" s="389">
        <f t="shared" si="5"/>
        <v>0</v>
      </c>
      <c r="M32" s="389">
        <v>16</v>
      </c>
      <c r="P32" s="405" t="s">
        <v>2470</v>
      </c>
      <c r="Q32" s="405">
        <v>1</v>
      </c>
      <c r="R32" s="159">
        <f t="shared" si="2"/>
        <v>17</v>
      </c>
      <c r="S32" s="159">
        <f t="shared" si="8"/>
        <v>1</v>
      </c>
    </row>
    <row r="33" spans="1:20" x14ac:dyDescent="0.3">
      <c r="B33" s="159" t="s">
        <v>405</v>
      </c>
      <c r="C33" s="389">
        <v>3</v>
      </c>
      <c r="D33" s="389">
        <v>3</v>
      </c>
      <c r="E33" s="389">
        <v>3</v>
      </c>
      <c r="G33" s="389">
        <f>統計tmp!BE35</f>
        <v>0</v>
      </c>
      <c r="H33" s="389">
        <f>統計tmp!BD35</f>
        <v>0</v>
      </c>
      <c r="K33" s="389" t="str">
        <f t="shared" si="6"/>
        <v/>
      </c>
      <c r="L33" s="389">
        <f t="shared" si="5"/>
        <v>0</v>
      </c>
      <c r="M33" s="389">
        <v>2</v>
      </c>
      <c r="P33" s="405" t="s">
        <v>2470</v>
      </c>
      <c r="Q33" s="405">
        <v>1</v>
      </c>
      <c r="R33" s="159">
        <f t="shared" si="2"/>
        <v>3</v>
      </c>
      <c r="S33" s="159">
        <f t="shared" si="8"/>
        <v>1</v>
      </c>
    </row>
    <row r="34" spans="1:20" x14ac:dyDescent="0.3">
      <c r="A34" s="388" t="s">
        <v>81</v>
      </c>
      <c r="B34" s="388"/>
      <c r="C34" s="391">
        <v>87</v>
      </c>
      <c r="D34" s="391">
        <v>87</v>
      </c>
      <c r="E34" s="391">
        <v>50</v>
      </c>
      <c r="F34" s="391"/>
      <c r="G34" s="391">
        <f>統計tmp!BE36</f>
        <v>0</v>
      </c>
      <c r="H34" s="391">
        <f>統計tmp!BD36</f>
        <v>0</v>
      </c>
      <c r="I34" s="391"/>
      <c r="J34" s="391"/>
      <c r="K34" s="391" t="str">
        <f t="shared" si="6"/>
        <v/>
      </c>
      <c r="L34" s="391"/>
      <c r="M34" s="391"/>
      <c r="N34" s="391"/>
      <c r="O34" s="402"/>
      <c r="P34" s="406" t="s">
        <v>2470</v>
      </c>
      <c r="Q34" s="406" t="s">
        <v>2470</v>
      </c>
      <c r="R34" s="388"/>
      <c r="S34" s="388"/>
    </row>
    <row r="35" spans="1:20" x14ac:dyDescent="0.3">
      <c r="B35" s="159" t="s">
        <v>987</v>
      </c>
      <c r="C35" s="389">
        <v>15</v>
      </c>
      <c r="D35" s="389">
        <v>15</v>
      </c>
      <c r="E35" s="401">
        <v>11</v>
      </c>
      <c r="G35" s="389">
        <f>統計tmp!BE37</f>
        <v>0</v>
      </c>
      <c r="H35" s="389">
        <f>統計tmp!BD37</f>
        <v>0</v>
      </c>
      <c r="J35" s="389">
        <v>11</v>
      </c>
      <c r="K35" s="389">
        <v>4</v>
      </c>
      <c r="L35" s="389">
        <f t="shared" si="5"/>
        <v>15</v>
      </c>
      <c r="P35" s="405" t="s">
        <v>2470</v>
      </c>
      <c r="Q35" s="405" t="s">
        <v>2470</v>
      </c>
      <c r="R35" s="159">
        <f t="shared" si="2"/>
        <v>0</v>
      </c>
      <c r="S35" s="159">
        <f>SUM(O35:Q35)</f>
        <v>0</v>
      </c>
    </row>
    <row r="36" spans="1:20" x14ac:dyDescent="0.3">
      <c r="B36" s="159" t="s">
        <v>1446</v>
      </c>
      <c r="C36" s="389">
        <v>12</v>
      </c>
      <c r="D36" s="389">
        <v>12</v>
      </c>
      <c r="E36" s="401">
        <v>4</v>
      </c>
      <c r="G36" s="389">
        <f>統計tmp!BE38</f>
        <v>0</v>
      </c>
      <c r="H36" s="389">
        <f>統計tmp!BD38</f>
        <v>0</v>
      </c>
      <c r="J36" s="389">
        <v>4</v>
      </c>
      <c r="K36" s="389">
        <v>8</v>
      </c>
      <c r="L36" s="389">
        <f t="shared" si="5"/>
        <v>12</v>
      </c>
      <c r="P36" s="405" t="s">
        <v>2470</v>
      </c>
      <c r="Q36" s="405" t="s">
        <v>2470</v>
      </c>
      <c r="R36" s="159">
        <f t="shared" si="2"/>
        <v>0</v>
      </c>
      <c r="S36" s="159">
        <f t="shared" ref="S36:S40" si="9">SUM(O36:Q36)</f>
        <v>0</v>
      </c>
    </row>
    <row r="37" spans="1:20" x14ac:dyDescent="0.3">
      <c r="B37" s="159" t="s">
        <v>2469</v>
      </c>
      <c r="C37" s="389">
        <v>15</v>
      </c>
      <c r="D37" s="389">
        <v>15</v>
      </c>
      <c r="E37" s="401">
        <v>9</v>
      </c>
      <c r="G37" s="389">
        <f>統計tmp!BE39</f>
        <v>0</v>
      </c>
      <c r="H37" s="389">
        <f>統計tmp!BD39</f>
        <v>0</v>
      </c>
      <c r="K37" s="389" t="str">
        <f>IF(J37="V",C37,"")</f>
        <v/>
      </c>
      <c r="L37" s="389">
        <f t="shared" si="5"/>
        <v>0</v>
      </c>
      <c r="P37" s="405">
        <v>12</v>
      </c>
      <c r="Q37" s="405">
        <v>3</v>
      </c>
      <c r="R37" s="159">
        <f t="shared" si="2"/>
        <v>15</v>
      </c>
      <c r="S37" s="159">
        <f t="shared" si="9"/>
        <v>15</v>
      </c>
    </row>
    <row r="38" spans="1:20" x14ac:dyDescent="0.3">
      <c r="B38" s="159" t="s">
        <v>2526</v>
      </c>
      <c r="C38" s="389">
        <v>15</v>
      </c>
      <c r="D38" s="389">
        <v>15</v>
      </c>
      <c r="E38" s="401"/>
      <c r="G38" s="389">
        <f>統計tmp!BE40</f>
        <v>0</v>
      </c>
      <c r="H38" s="389">
        <f>統計tmp!BD40</f>
        <v>0</v>
      </c>
      <c r="K38" s="389" t="str">
        <f>IF(J38="V",C38,"")</f>
        <v/>
      </c>
      <c r="L38" s="389">
        <f t="shared" si="5"/>
        <v>0</v>
      </c>
      <c r="N38" s="389">
        <v>14</v>
      </c>
      <c r="P38" s="405" t="s">
        <v>2470</v>
      </c>
      <c r="Q38" s="405">
        <v>1</v>
      </c>
      <c r="R38" s="159">
        <f t="shared" si="2"/>
        <v>15</v>
      </c>
      <c r="S38" s="159">
        <f t="shared" si="9"/>
        <v>1</v>
      </c>
    </row>
    <row r="39" spans="1:20" x14ac:dyDescent="0.3">
      <c r="B39" s="159" t="s">
        <v>2489</v>
      </c>
      <c r="C39" s="389">
        <v>26</v>
      </c>
      <c r="D39" s="389">
        <v>26</v>
      </c>
      <c r="E39" s="389">
        <v>26</v>
      </c>
      <c r="F39" s="389">
        <v>26</v>
      </c>
      <c r="G39" s="389">
        <f>統計tmp!BE41</f>
        <v>0</v>
      </c>
      <c r="H39" s="389">
        <f>統計tmp!BD41</f>
        <v>0</v>
      </c>
      <c r="K39" s="389" t="str">
        <f>IF(J39="V",C39,"")</f>
        <v/>
      </c>
      <c r="L39" s="389">
        <f t="shared" si="5"/>
        <v>0</v>
      </c>
      <c r="P39" s="405" t="s">
        <v>2470</v>
      </c>
      <c r="Q39" s="405" t="s">
        <v>2470</v>
      </c>
      <c r="R39" s="159">
        <f t="shared" si="2"/>
        <v>0</v>
      </c>
      <c r="S39" s="159">
        <f t="shared" si="9"/>
        <v>0</v>
      </c>
    </row>
    <row r="40" spans="1:20" x14ac:dyDescent="0.3">
      <c r="B40" s="159" t="s">
        <v>2527</v>
      </c>
      <c r="C40" s="389">
        <v>4</v>
      </c>
      <c r="D40" s="389">
        <v>4</v>
      </c>
      <c r="G40" s="389">
        <f>統計tmp!BE42</f>
        <v>0</v>
      </c>
      <c r="H40" s="389">
        <f>統計tmp!BD42</f>
        <v>0</v>
      </c>
      <c r="J40" s="389">
        <v>0</v>
      </c>
      <c r="K40" s="389">
        <v>4</v>
      </c>
      <c r="L40" s="389">
        <f t="shared" si="5"/>
        <v>4</v>
      </c>
      <c r="P40" s="405" t="s">
        <v>2470</v>
      </c>
      <c r="Q40" s="405" t="s">
        <v>2470</v>
      </c>
      <c r="R40" s="159">
        <f t="shared" si="2"/>
        <v>0</v>
      </c>
      <c r="S40" s="159">
        <f t="shared" si="9"/>
        <v>0</v>
      </c>
    </row>
    <row r="41" spans="1:20" x14ac:dyDescent="0.3">
      <c r="A41" s="388" t="s">
        <v>82</v>
      </c>
      <c r="B41" s="388"/>
      <c r="C41" s="391">
        <v>88</v>
      </c>
      <c r="D41" s="391">
        <v>88</v>
      </c>
      <c r="E41" s="391">
        <v>42</v>
      </c>
      <c r="F41" s="391"/>
      <c r="G41" s="391">
        <f>統計tmp!BE43</f>
        <v>0</v>
      </c>
      <c r="H41" s="391">
        <f>統計tmp!BD43</f>
        <v>0</v>
      </c>
      <c r="I41" s="391"/>
      <c r="J41" s="391"/>
      <c r="K41" s="391" t="str">
        <f>IF(J41="V",C41,"")</f>
        <v/>
      </c>
      <c r="L41" s="391"/>
      <c r="M41" s="391"/>
      <c r="N41" s="391"/>
      <c r="O41" s="402"/>
      <c r="P41" s="406" t="s">
        <v>2470</v>
      </c>
      <c r="Q41" s="406" t="s">
        <v>2470</v>
      </c>
      <c r="R41" s="388"/>
      <c r="S41" s="388"/>
    </row>
    <row r="42" spans="1:20" x14ac:dyDescent="0.3">
      <c r="B42" s="159" t="s">
        <v>2528</v>
      </c>
      <c r="C42" s="389">
        <v>4</v>
      </c>
      <c r="D42" s="389">
        <v>4</v>
      </c>
      <c r="E42" s="401"/>
      <c r="G42" s="389">
        <f>統計tmp!BE44</f>
        <v>0</v>
      </c>
      <c r="H42" s="389">
        <f>統計tmp!BD44</f>
        <v>0</v>
      </c>
      <c r="K42" s="389" t="str">
        <f>IF(J42="V",C42,"")</f>
        <v/>
      </c>
      <c r="L42" s="389">
        <f t="shared" si="5"/>
        <v>0</v>
      </c>
      <c r="N42" s="389">
        <v>1</v>
      </c>
      <c r="P42" s="405">
        <v>2</v>
      </c>
      <c r="Q42" s="405">
        <v>1</v>
      </c>
      <c r="R42" s="159">
        <f t="shared" si="2"/>
        <v>4</v>
      </c>
      <c r="S42" s="159">
        <f>SUM(O42:Q42)</f>
        <v>3</v>
      </c>
    </row>
    <row r="43" spans="1:20" x14ac:dyDescent="0.3">
      <c r="B43" s="159" t="s">
        <v>2529</v>
      </c>
      <c r="C43" s="389">
        <v>9</v>
      </c>
      <c r="D43" s="389">
        <v>9</v>
      </c>
      <c r="E43" s="389">
        <v>7</v>
      </c>
      <c r="G43" s="389">
        <f>統計tmp!BE45</f>
        <v>0</v>
      </c>
      <c r="H43" s="389">
        <f>統計tmp!BD45</f>
        <v>0</v>
      </c>
      <c r="J43" s="389">
        <v>7</v>
      </c>
      <c r="K43" s="389">
        <v>2</v>
      </c>
      <c r="L43" s="389">
        <f t="shared" si="5"/>
        <v>9</v>
      </c>
      <c r="P43" s="405" t="s">
        <v>2470</v>
      </c>
      <c r="Q43" s="405" t="s">
        <v>2470</v>
      </c>
      <c r="R43" s="159">
        <f t="shared" si="2"/>
        <v>0</v>
      </c>
      <c r="S43" s="159">
        <f t="shared" ref="S43:S49" si="10">SUM(O43:Q43)</f>
        <v>0</v>
      </c>
      <c r="T43" s="159" t="s">
        <v>2563</v>
      </c>
    </row>
    <row r="44" spans="1:20" x14ac:dyDescent="0.3">
      <c r="B44" s="159" t="s">
        <v>2530</v>
      </c>
      <c r="C44" s="389">
        <v>6</v>
      </c>
      <c r="D44" s="389">
        <v>6</v>
      </c>
      <c r="G44" s="389">
        <f>統計tmp!BE46</f>
        <v>0</v>
      </c>
      <c r="H44" s="389">
        <f>統計tmp!BD46</f>
        <v>0</v>
      </c>
      <c r="J44" s="389">
        <v>0</v>
      </c>
      <c r="K44" s="389">
        <v>6</v>
      </c>
      <c r="L44" s="389">
        <f t="shared" si="5"/>
        <v>6</v>
      </c>
      <c r="P44" s="405" t="s">
        <v>2470</v>
      </c>
      <c r="Q44" s="405" t="s">
        <v>2470</v>
      </c>
      <c r="R44" s="159">
        <f t="shared" si="2"/>
        <v>0</v>
      </c>
      <c r="S44" s="159">
        <f t="shared" si="10"/>
        <v>0</v>
      </c>
      <c r="T44" s="159" t="s">
        <v>2563</v>
      </c>
    </row>
    <row r="45" spans="1:20" x14ac:dyDescent="0.3">
      <c r="B45" s="159" t="s">
        <v>2531</v>
      </c>
      <c r="C45" s="389">
        <v>8</v>
      </c>
      <c r="D45" s="389">
        <v>8</v>
      </c>
      <c r="E45" s="401"/>
      <c r="G45" s="389">
        <f>統計tmp!BE47</f>
        <v>0</v>
      </c>
      <c r="H45" s="389">
        <f>統計tmp!BD47</f>
        <v>0</v>
      </c>
      <c r="K45" s="389" t="str">
        <f>IF(J45="V",C45,"")</f>
        <v/>
      </c>
      <c r="L45" s="389">
        <f t="shared" si="5"/>
        <v>0</v>
      </c>
      <c r="P45" s="405">
        <v>8</v>
      </c>
      <c r="Q45" s="405" t="s">
        <v>2470</v>
      </c>
      <c r="R45" s="159">
        <f t="shared" si="2"/>
        <v>8</v>
      </c>
      <c r="S45" s="159">
        <f t="shared" si="10"/>
        <v>8</v>
      </c>
    </row>
    <row r="46" spans="1:20" x14ac:dyDescent="0.3">
      <c r="B46" s="159" t="s">
        <v>2532</v>
      </c>
      <c r="C46" s="389">
        <v>7</v>
      </c>
      <c r="D46" s="389">
        <v>7</v>
      </c>
      <c r="E46" s="401">
        <v>4</v>
      </c>
      <c r="G46" s="389">
        <f>統計tmp!BE48</f>
        <v>0</v>
      </c>
      <c r="H46" s="389">
        <f>統計tmp!BD48</f>
        <v>0</v>
      </c>
      <c r="L46" s="389">
        <f t="shared" si="5"/>
        <v>0</v>
      </c>
      <c r="M46" s="389">
        <v>4</v>
      </c>
      <c r="N46" s="389">
        <v>2</v>
      </c>
      <c r="P46" s="405" t="s">
        <v>2470</v>
      </c>
      <c r="Q46" s="405">
        <v>1</v>
      </c>
      <c r="R46" s="159">
        <f t="shared" si="2"/>
        <v>7</v>
      </c>
      <c r="S46" s="159">
        <f t="shared" si="10"/>
        <v>1</v>
      </c>
    </row>
    <row r="47" spans="1:20" x14ac:dyDescent="0.3">
      <c r="B47" s="159" t="s">
        <v>2533</v>
      </c>
      <c r="C47" s="389">
        <v>20</v>
      </c>
      <c r="D47" s="389">
        <v>20</v>
      </c>
      <c r="E47" s="401">
        <v>12</v>
      </c>
      <c r="G47" s="389">
        <f>統計tmp!BE49</f>
        <v>0</v>
      </c>
      <c r="H47" s="389">
        <f>統計tmp!BD49</f>
        <v>0</v>
      </c>
      <c r="J47" s="389">
        <v>12</v>
      </c>
      <c r="K47" s="389">
        <v>8</v>
      </c>
      <c r="L47" s="389">
        <f t="shared" si="5"/>
        <v>20</v>
      </c>
      <c r="P47" s="405" t="s">
        <v>2470</v>
      </c>
      <c r="Q47" s="405" t="s">
        <v>2470</v>
      </c>
      <c r="R47" s="159">
        <f t="shared" si="2"/>
        <v>0</v>
      </c>
      <c r="S47" s="159">
        <f t="shared" si="10"/>
        <v>0</v>
      </c>
    </row>
    <row r="48" spans="1:20" x14ac:dyDescent="0.3">
      <c r="B48" s="159" t="s">
        <v>2534</v>
      </c>
      <c r="C48" s="389">
        <v>29</v>
      </c>
      <c r="D48" s="389">
        <v>29</v>
      </c>
      <c r="E48" s="401">
        <v>15</v>
      </c>
      <c r="G48" s="389">
        <f>統計tmp!BE50</f>
        <v>0</v>
      </c>
      <c r="H48" s="389">
        <f>統計tmp!BD50</f>
        <v>0</v>
      </c>
      <c r="J48" s="389">
        <v>15</v>
      </c>
      <c r="K48" s="389">
        <v>14</v>
      </c>
      <c r="L48" s="389">
        <f t="shared" si="5"/>
        <v>29</v>
      </c>
      <c r="P48" s="405" t="s">
        <v>2470</v>
      </c>
      <c r="Q48" s="405" t="s">
        <v>2470</v>
      </c>
      <c r="R48" s="159">
        <f t="shared" si="2"/>
        <v>0</v>
      </c>
      <c r="S48" s="159">
        <f t="shared" si="10"/>
        <v>0</v>
      </c>
    </row>
    <row r="49" spans="1:19" x14ac:dyDescent="0.3">
      <c r="B49" s="159" t="s">
        <v>2535</v>
      </c>
      <c r="C49" s="389">
        <v>5</v>
      </c>
      <c r="D49" s="389">
        <v>5</v>
      </c>
      <c r="E49" s="401">
        <v>4</v>
      </c>
      <c r="G49" s="389">
        <f>統計tmp!BE51</f>
        <v>0</v>
      </c>
      <c r="H49" s="389">
        <f>統計tmp!BD51</f>
        <v>0</v>
      </c>
      <c r="K49" s="389" t="str">
        <f>IF(J49="V",C49,"")</f>
        <v/>
      </c>
      <c r="L49" s="389">
        <f t="shared" si="5"/>
        <v>0</v>
      </c>
      <c r="M49" s="389">
        <v>4</v>
      </c>
      <c r="P49" s="405">
        <v>1</v>
      </c>
      <c r="Q49" s="405" t="s">
        <v>2470</v>
      </c>
      <c r="R49" s="159">
        <f t="shared" si="2"/>
        <v>5</v>
      </c>
      <c r="S49" s="159">
        <f t="shared" si="10"/>
        <v>1</v>
      </c>
    </row>
    <row r="50" spans="1:19" x14ac:dyDescent="0.3">
      <c r="A50" s="388" t="s">
        <v>83</v>
      </c>
      <c r="B50" s="388"/>
      <c r="C50" s="391">
        <v>10</v>
      </c>
      <c r="D50" s="391">
        <v>10</v>
      </c>
      <c r="E50" s="391"/>
      <c r="F50" s="391"/>
      <c r="G50" s="391">
        <f>統計tmp!BE52</f>
        <v>0</v>
      </c>
      <c r="H50" s="391">
        <f>統計tmp!BD52</f>
        <v>0</v>
      </c>
      <c r="I50" s="391"/>
      <c r="J50" s="391"/>
      <c r="K50" s="391" t="str">
        <f>IF(J50="V",C50,"")</f>
        <v/>
      </c>
      <c r="L50" s="391"/>
      <c r="M50" s="391"/>
      <c r="N50" s="391"/>
      <c r="O50" s="402"/>
      <c r="P50" s="406" t="s">
        <v>2470</v>
      </c>
      <c r="Q50" s="406" t="s">
        <v>2470</v>
      </c>
      <c r="R50" s="388"/>
      <c r="S50" s="388"/>
    </row>
    <row r="51" spans="1:19" x14ac:dyDescent="0.3">
      <c r="B51" s="159" t="s">
        <v>2536</v>
      </c>
      <c r="C51" s="389">
        <v>1</v>
      </c>
      <c r="D51" s="389">
        <v>1</v>
      </c>
      <c r="E51" s="401"/>
      <c r="G51" s="389">
        <f>統計tmp!BE53</f>
        <v>0</v>
      </c>
      <c r="H51" s="389">
        <f>統計tmp!BD53</f>
        <v>0</v>
      </c>
      <c r="J51" s="389">
        <v>0</v>
      </c>
      <c r="K51" s="389">
        <v>1</v>
      </c>
      <c r="L51" s="389">
        <f t="shared" si="5"/>
        <v>1</v>
      </c>
      <c r="P51" s="405" t="s">
        <v>2470</v>
      </c>
      <c r="Q51" s="405" t="s">
        <v>2470</v>
      </c>
      <c r="R51" s="159">
        <f t="shared" si="2"/>
        <v>0</v>
      </c>
      <c r="S51" s="159">
        <f>SUM(O51:Q51)</f>
        <v>0</v>
      </c>
    </row>
    <row r="52" spans="1:19" x14ac:dyDescent="0.3">
      <c r="B52" s="159" t="s">
        <v>2488</v>
      </c>
      <c r="C52" s="389">
        <v>9</v>
      </c>
      <c r="D52" s="389">
        <v>9</v>
      </c>
      <c r="E52" s="401"/>
      <c r="G52" s="389">
        <f>統計tmp!BE54</f>
        <v>0</v>
      </c>
      <c r="H52" s="389">
        <f>統計tmp!BD54</f>
        <v>0</v>
      </c>
      <c r="K52" s="389" t="str">
        <f>IF(J52="V",C52,"")</f>
        <v/>
      </c>
      <c r="L52" s="389">
        <f t="shared" si="5"/>
        <v>0</v>
      </c>
      <c r="N52" s="389">
        <v>8</v>
      </c>
      <c r="P52" s="405" t="s">
        <v>2470</v>
      </c>
      <c r="Q52" s="405">
        <v>1</v>
      </c>
      <c r="R52" s="159">
        <f t="shared" si="2"/>
        <v>9</v>
      </c>
      <c r="S52" s="159">
        <f>SUM(O52:Q52)</f>
        <v>1</v>
      </c>
    </row>
    <row r="53" spans="1:19" x14ac:dyDescent="0.3">
      <c r="A53" s="388" t="s">
        <v>84</v>
      </c>
      <c r="B53" s="388"/>
      <c r="C53" s="391">
        <v>134</v>
      </c>
      <c r="D53" s="391">
        <v>134</v>
      </c>
      <c r="E53" s="391">
        <v>4</v>
      </c>
      <c r="F53" s="391"/>
      <c r="G53" s="391">
        <f>統計tmp!BE55</f>
        <v>0</v>
      </c>
      <c r="H53" s="391">
        <f>統計tmp!BD55</f>
        <v>0</v>
      </c>
      <c r="I53" s="391"/>
      <c r="J53" s="391"/>
      <c r="K53" s="391" t="str">
        <f>IF(J53="V",C53,"")</f>
        <v/>
      </c>
      <c r="L53" s="391"/>
      <c r="M53" s="391"/>
      <c r="N53" s="391"/>
      <c r="O53" s="402"/>
      <c r="P53" s="406" t="s">
        <v>2470</v>
      </c>
      <c r="Q53" s="406" t="s">
        <v>2470</v>
      </c>
      <c r="R53" s="388"/>
      <c r="S53" s="388"/>
    </row>
    <row r="54" spans="1:19" x14ac:dyDescent="0.3">
      <c r="B54" s="159" t="s">
        <v>904</v>
      </c>
      <c r="C54" s="389">
        <v>7</v>
      </c>
      <c r="D54" s="389">
        <v>7</v>
      </c>
      <c r="E54" s="401">
        <v>2</v>
      </c>
      <c r="F54" s="401"/>
      <c r="G54" s="389">
        <f>統計tmp!BE56</f>
        <v>0</v>
      </c>
      <c r="H54" s="389">
        <f>統計tmp!BD56</f>
        <v>0</v>
      </c>
      <c r="K54" s="389" t="str">
        <f>IF(J54="V",C54,"")</f>
        <v/>
      </c>
      <c r="L54" s="389">
        <f t="shared" si="5"/>
        <v>0</v>
      </c>
      <c r="M54" s="389">
        <v>2</v>
      </c>
      <c r="P54" s="405">
        <v>5</v>
      </c>
      <c r="Q54" s="405" t="s">
        <v>2470</v>
      </c>
      <c r="R54" s="159">
        <f t="shared" si="2"/>
        <v>7</v>
      </c>
      <c r="S54" s="159">
        <f>SUM(O54:Q54)</f>
        <v>5</v>
      </c>
    </row>
    <row r="55" spans="1:19" x14ac:dyDescent="0.3">
      <c r="B55" s="159" t="s">
        <v>922</v>
      </c>
      <c r="C55" s="389">
        <v>9</v>
      </c>
      <c r="D55" s="389">
        <v>9</v>
      </c>
      <c r="E55" s="401">
        <v>2</v>
      </c>
      <c r="F55" s="401"/>
      <c r="G55" s="389">
        <f>統計tmp!BE57</f>
        <v>0</v>
      </c>
      <c r="H55" s="389">
        <f>統計tmp!BD57</f>
        <v>0</v>
      </c>
      <c r="K55" s="389" t="str">
        <f>IF(J55="V",C55,"")</f>
        <v/>
      </c>
      <c r="L55" s="389">
        <f t="shared" si="5"/>
        <v>0</v>
      </c>
      <c r="M55" s="389">
        <v>2</v>
      </c>
      <c r="N55" s="389">
        <v>6</v>
      </c>
      <c r="P55" s="405" t="s">
        <v>2470</v>
      </c>
      <c r="Q55" s="405">
        <v>1</v>
      </c>
      <c r="R55" s="159">
        <f t="shared" si="2"/>
        <v>9</v>
      </c>
      <c r="S55" s="159">
        <f t="shared" ref="S55:S59" si="11">SUM(O55:Q55)</f>
        <v>1</v>
      </c>
    </row>
    <row r="56" spans="1:19" x14ac:dyDescent="0.3">
      <c r="B56" s="159" t="s">
        <v>2537</v>
      </c>
      <c r="C56" s="389">
        <v>112</v>
      </c>
      <c r="D56" s="389">
        <v>112</v>
      </c>
      <c r="E56" s="401"/>
      <c r="F56" s="401"/>
      <c r="G56" s="389">
        <f>統計tmp!BE58</f>
        <v>0</v>
      </c>
      <c r="H56" s="389">
        <f>統計tmp!BD58</f>
        <v>0</v>
      </c>
      <c r="K56" s="389" t="str">
        <f>IF(J56="V",C56,"")</f>
        <v/>
      </c>
      <c r="L56" s="389">
        <f t="shared" si="5"/>
        <v>0</v>
      </c>
      <c r="N56" s="389">
        <v>75</v>
      </c>
      <c r="P56" s="405" t="s">
        <v>2470</v>
      </c>
      <c r="Q56" s="405">
        <v>37</v>
      </c>
      <c r="R56" s="159">
        <f t="shared" si="2"/>
        <v>112</v>
      </c>
      <c r="S56" s="159">
        <f t="shared" si="11"/>
        <v>37</v>
      </c>
    </row>
    <row r="57" spans="1:19" x14ac:dyDescent="0.3">
      <c r="B57" s="159" t="s">
        <v>2538</v>
      </c>
      <c r="C57" s="389">
        <v>2</v>
      </c>
      <c r="D57" s="389">
        <v>2</v>
      </c>
      <c r="E57" s="401"/>
      <c r="F57" s="401"/>
      <c r="G57" s="389">
        <f>統計tmp!BE59</f>
        <v>0</v>
      </c>
      <c r="H57" s="389">
        <f>統計tmp!BD59</f>
        <v>0</v>
      </c>
      <c r="J57" s="389">
        <v>0</v>
      </c>
      <c r="K57" s="389">
        <v>2</v>
      </c>
      <c r="L57" s="389">
        <f t="shared" si="5"/>
        <v>2</v>
      </c>
      <c r="P57" s="405" t="s">
        <v>2470</v>
      </c>
      <c r="Q57" s="405" t="s">
        <v>2470</v>
      </c>
      <c r="R57" s="159">
        <f t="shared" si="2"/>
        <v>0</v>
      </c>
      <c r="S57" s="159">
        <f t="shared" si="11"/>
        <v>0</v>
      </c>
    </row>
    <row r="58" spans="1:19" x14ac:dyDescent="0.3">
      <c r="B58" s="159" t="s">
        <v>2539</v>
      </c>
      <c r="C58" s="389">
        <v>3</v>
      </c>
      <c r="D58" s="389">
        <v>3</v>
      </c>
      <c r="E58" s="401"/>
      <c r="F58" s="401"/>
      <c r="G58" s="389">
        <f>統計tmp!BE60</f>
        <v>0</v>
      </c>
      <c r="H58" s="389">
        <f>統計tmp!BD60</f>
        <v>0</v>
      </c>
      <c r="J58" s="389">
        <v>0</v>
      </c>
      <c r="K58" s="389">
        <v>3</v>
      </c>
      <c r="L58" s="389">
        <f t="shared" si="5"/>
        <v>3</v>
      </c>
      <c r="P58" s="405" t="s">
        <v>2470</v>
      </c>
      <c r="Q58" s="405" t="s">
        <v>2470</v>
      </c>
      <c r="R58" s="159">
        <f t="shared" si="2"/>
        <v>0</v>
      </c>
      <c r="S58" s="159">
        <f t="shared" si="11"/>
        <v>0</v>
      </c>
    </row>
    <row r="59" spans="1:19" x14ac:dyDescent="0.3">
      <c r="B59" s="159" t="s">
        <v>918</v>
      </c>
      <c r="C59" s="389">
        <v>1</v>
      </c>
      <c r="D59" s="389">
        <v>1</v>
      </c>
      <c r="E59" s="401"/>
      <c r="F59" s="401"/>
      <c r="G59" s="389">
        <f>統計tmp!BE61</f>
        <v>0</v>
      </c>
      <c r="H59" s="389">
        <f>統計tmp!BD61</f>
        <v>0</v>
      </c>
      <c r="J59" s="389">
        <v>0</v>
      </c>
      <c r="K59" s="389">
        <v>1</v>
      </c>
      <c r="L59" s="389">
        <f t="shared" si="5"/>
        <v>1</v>
      </c>
      <c r="P59" s="405" t="s">
        <v>2470</v>
      </c>
      <c r="Q59" s="405" t="s">
        <v>2470</v>
      </c>
      <c r="R59" s="159">
        <f t="shared" si="2"/>
        <v>0</v>
      </c>
      <c r="S59" s="159">
        <f t="shared" si="11"/>
        <v>0</v>
      </c>
    </row>
    <row r="60" spans="1:19" x14ac:dyDescent="0.3">
      <c r="A60" s="388" t="s">
        <v>85</v>
      </c>
      <c r="B60" s="388"/>
      <c r="C60" s="391">
        <v>1</v>
      </c>
      <c r="D60" s="391">
        <v>1</v>
      </c>
      <c r="E60" s="391"/>
      <c r="F60" s="391"/>
      <c r="G60" s="391">
        <f>統計tmp!BE62</f>
        <v>0</v>
      </c>
      <c r="H60" s="391">
        <f>統計tmp!BD62</f>
        <v>0</v>
      </c>
      <c r="I60" s="391"/>
      <c r="J60" s="391"/>
      <c r="K60" s="391" t="str">
        <f>IF(J60="V",C60,"")</f>
        <v/>
      </c>
      <c r="L60" s="391"/>
      <c r="M60" s="391"/>
      <c r="N60" s="391"/>
      <c r="O60" s="402"/>
      <c r="P60" s="406" t="s">
        <v>2470</v>
      </c>
      <c r="Q60" s="406" t="s">
        <v>2470</v>
      </c>
      <c r="R60" s="388"/>
      <c r="S60" s="388"/>
    </row>
    <row r="61" spans="1:19" x14ac:dyDescent="0.3">
      <c r="B61" s="159" t="s">
        <v>2540</v>
      </c>
      <c r="C61" s="389">
        <v>1</v>
      </c>
      <c r="D61" s="389">
        <v>1</v>
      </c>
      <c r="E61" s="401"/>
      <c r="G61" s="389">
        <f>統計tmp!BE63</f>
        <v>0</v>
      </c>
      <c r="H61" s="389">
        <f>統計tmp!BD63</f>
        <v>0</v>
      </c>
      <c r="J61" s="389">
        <v>0</v>
      </c>
      <c r="K61" s="389">
        <v>1</v>
      </c>
      <c r="L61" s="389">
        <f t="shared" si="5"/>
        <v>1</v>
      </c>
      <c r="P61" s="405" t="s">
        <v>2470</v>
      </c>
      <c r="Q61" s="405" t="s">
        <v>2470</v>
      </c>
      <c r="R61" s="159">
        <f t="shared" si="2"/>
        <v>0</v>
      </c>
      <c r="S61" s="159">
        <f>SUM(O61:Q61)</f>
        <v>0</v>
      </c>
    </row>
    <row r="62" spans="1:19" x14ac:dyDescent="0.3">
      <c r="A62" s="159" t="s">
        <v>86</v>
      </c>
      <c r="G62" s="389">
        <f>統計tmp!BE64</f>
        <v>0</v>
      </c>
      <c r="H62" s="389">
        <f>統計tmp!BD64</f>
        <v>0</v>
      </c>
      <c r="K62" s="389" t="str">
        <f>IF(J62="V",C62,"")</f>
        <v/>
      </c>
      <c r="L62" s="389">
        <f t="shared" si="5"/>
        <v>0</v>
      </c>
      <c r="P62" s="405" t="s">
        <v>2470</v>
      </c>
      <c r="Q62" s="405" t="s">
        <v>2470</v>
      </c>
      <c r="R62" s="159">
        <f t="shared" si="2"/>
        <v>0</v>
      </c>
      <c r="S62" s="159">
        <f t="shared" ref="S62:S63" si="12">SUM(O62:Q62)</f>
        <v>0</v>
      </c>
    </row>
    <row r="63" spans="1:19" x14ac:dyDescent="0.3">
      <c r="B63" s="159" t="s">
        <v>86</v>
      </c>
      <c r="G63" s="389">
        <f>統計tmp!BE65</f>
        <v>0</v>
      </c>
      <c r="H63" s="389">
        <f>統計tmp!BD65</f>
        <v>0</v>
      </c>
      <c r="K63" s="389" t="str">
        <f>IF(J63="V",C63,"")</f>
        <v/>
      </c>
      <c r="L63" s="389">
        <f t="shared" si="5"/>
        <v>0</v>
      </c>
      <c r="P63" s="405" t="s">
        <v>2470</v>
      </c>
      <c r="Q63" s="405" t="s">
        <v>2470</v>
      </c>
      <c r="R63" s="159">
        <f t="shared" si="2"/>
        <v>0</v>
      </c>
      <c r="S63" s="159">
        <f t="shared" si="12"/>
        <v>0</v>
      </c>
    </row>
    <row r="64" spans="1:19" x14ac:dyDescent="0.3">
      <c r="A64" s="388" t="s">
        <v>2541</v>
      </c>
      <c r="B64" s="388"/>
      <c r="C64" s="391">
        <v>9</v>
      </c>
      <c r="D64" s="391">
        <v>7</v>
      </c>
      <c r="E64" s="391"/>
      <c r="F64" s="391"/>
      <c r="G64" s="391">
        <f>統計tmp!BE66</f>
        <v>0</v>
      </c>
      <c r="H64" s="391">
        <f>統計tmp!BD66</f>
        <v>0</v>
      </c>
      <c r="I64" s="391"/>
      <c r="J64" s="391"/>
      <c r="K64" s="391" t="str">
        <f>IF(J64="V",C64,"")</f>
        <v/>
      </c>
      <c r="L64" s="391"/>
      <c r="M64" s="391"/>
      <c r="N64" s="391"/>
      <c r="O64" s="402"/>
      <c r="P64" s="406" t="s">
        <v>2470</v>
      </c>
      <c r="Q64" s="406" t="s">
        <v>2470</v>
      </c>
      <c r="R64" s="388"/>
      <c r="S64" s="388"/>
    </row>
    <row r="65" spans="1:21" x14ac:dyDescent="0.3">
      <c r="B65" s="159" t="s">
        <v>2541</v>
      </c>
      <c r="C65" s="389">
        <v>9</v>
      </c>
      <c r="D65" s="389">
        <v>7</v>
      </c>
      <c r="E65" s="401"/>
      <c r="G65" s="389">
        <f>統計tmp!BE67</f>
        <v>0</v>
      </c>
      <c r="H65" s="389">
        <f>統計tmp!BD67</f>
        <v>0</v>
      </c>
      <c r="K65" s="389" t="str">
        <f>IF(J65="V",C65,"")</f>
        <v/>
      </c>
      <c r="L65" s="389">
        <f t="shared" si="5"/>
        <v>0</v>
      </c>
      <c r="P65" s="405" t="s">
        <v>2470</v>
      </c>
      <c r="Q65" s="405">
        <v>9</v>
      </c>
      <c r="R65" s="159">
        <f t="shared" si="2"/>
        <v>9</v>
      </c>
      <c r="S65" s="159">
        <f>SUM(O65:Q65)</f>
        <v>9</v>
      </c>
    </row>
    <row r="66" spans="1:21" x14ac:dyDescent="0.3">
      <c r="A66" s="388"/>
      <c r="B66" s="388" t="s">
        <v>2560</v>
      </c>
      <c r="C66" s="391">
        <f>C4+C9+C18+C24+C34+C41+C50+C53+C60+C64</f>
        <v>536</v>
      </c>
      <c r="D66" s="391"/>
      <c r="E66" s="391"/>
      <c r="F66" s="419">
        <f>SUM(F5:F65)</f>
        <v>78</v>
      </c>
      <c r="G66" s="391">
        <f>G4+G9+G18+G24+G34+G41+G50+G53+G60+G64</f>
        <v>0</v>
      </c>
      <c r="H66" s="391">
        <f>H4+H9+H18+H24+H34+H41+H50+H53+H60+H64</f>
        <v>0</v>
      </c>
      <c r="I66" s="420">
        <f>SUM(I5:I65)</f>
        <v>48</v>
      </c>
      <c r="J66" s="402">
        <f>SUM(J5:J65)</f>
        <v>86</v>
      </c>
      <c r="K66" s="402">
        <f>SUM(K5:K65)</f>
        <v>67</v>
      </c>
      <c r="L66" s="421">
        <f>SUM(L5:L65)</f>
        <v>153</v>
      </c>
      <c r="M66" s="402">
        <f>SUM(M5:M65)</f>
        <v>60</v>
      </c>
      <c r="N66" s="402">
        <f t="shared" ref="N66:Q66" si="13">SUM(N5:N65)</f>
        <v>107</v>
      </c>
      <c r="O66" s="402">
        <f t="shared" si="13"/>
        <v>0</v>
      </c>
      <c r="P66" s="403">
        <f t="shared" si="13"/>
        <v>31</v>
      </c>
      <c r="Q66" s="403">
        <f t="shared" si="13"/>
        <v>59</v>
      </c>
      <c r="R66" s="422">
        <f>SUM(R5:R65)</f>
        <v>257</v>
      </c>
      <c r="S66" s="388">
        <f>SUM(S6:S65)</f>
        <v>90</v>
      </c>
      <c r="T66" s="411" t="s">
        <v>2570</v>
      </c>
      <c r="U66" s="430">
        <f>F66+I66+L66+R66</f>
        <v>536</v>
      </c>
    </row>
    <row r="67" spans="1:21" x14ac:dyDescent="0.3">
      <c r="B67" s="159" t="s">
        <v>2564</v>
      </c>
      <c r="F67" s="408">
        <f t="shared" ref="F67:L67" si="14">F66/$C$66</f>
        <v>0.1455223880597015</v>
      </c>
      <c r="G67" s="408"/>
      <c r="H67" s="408"/>
      <c r="I67" s="408">
        <f t="shared" si="14"/>
        <v>8.9552238805970144E-2</v>
      </c>
      <c r="J67" s="408"/>
      <c r="K67" s="408"/>
      <c r="L67" s="408">
        <f t="shared" si="14"/>
        <v>0.28544776119402987</v>
      </c>
      <c r="M67" s="408"/>
      <c r="N67" s="408"/>
      <c r="O67" s="408"/>
      <c r="P67" s="408"/>
      <c r="Q67" s="429"/>
      <c r="R67" s="404">
        <f>R66/C66</f>
        <v>0.47947761194029853</v>
      </c>
      <c r="S67" s="407">
        <f>S66/$C$66</f>
        <v>0.16791044776119404</v>
      </c>
      <c r="T67" s="428" t="s">
        <v>2578</v>
      </c>
    </row>
    <row r="68" spans="1:21" x14ac:dyDescent="0.3">
      <c r="R68" s="425"/>
    </row>
    <row r="69" spans="1:21" x14ac:dyDescent="0.3">
      <c r="F69" s="395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5"/>
  <sheetViews>
    <sheetView zoomScaleNormal="100" workbookViewId="0">
      <pane ySplit="2" topLeftCell="A54" activePane="bottomLeft" state="frozen"/>
      <selection pane="bottomLeft" activeCell="AG56" sqref="AG56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9" customWidth="1"/>
    <col min="4" max="5" width="8" style="249" hidden="1" customWidth="1"/>
    <col min="6" max="6" width="8.19921875" style="249" hidden="1" customWidth="1"/>
    <col min="7" max="7" width="9.09765625" style="249" hidden="1" customWidth="1"/>
    <col min="8" max="8" width="5.69921875" style="249" hidden="1" customWidth="1"/>
    <col min="9" max="9" width="10.19921875" style="249" hidden="1" customWidth="1"/>
    <col min="10" max="10" width="8.69921875" style="249" hidden="1" customWidth="1"/>
    <col min="11" max="11" width="4.69921875" style="249" hidden="1" customWidth="1"/>
    <col min="12" max="12" width="5.69921875" style="249" hidden="1" customWidth="1"/>
    <col min="13" max="14" width="4.69921875" style="249" hidden="1" customWidth="1"/>
    <col min="15" max="15" width="7" style="471" hidden="1" customWidth="1"/>
    <col min="16" max="16" width="8" style="472" hidden="1" customWidth="1"/>
    <col min="17" max="17" width="12.59765625" style="472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00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06" bestFit="1" customWidth="1"/>
    <col min="31" max="16384" width="8.69921875" style="4"/>
  </cols>
  <sheetData>
    <row r="1" spans="1:30" s="447" customFormat="1" ht="52" customHeight="1" x14ac:dyDescent="0.3">
      <c r="C1" s="448"/>
      <c r="D1" s="448"/>
      <c r="E1" s="448"/>
      <c r="F1" s="449" t="s">
        <v>2569</v>
      </c>
      <c r="G1" s="448"/>
      <c r="H1" s="448"/>
      <c r="I1" s="450" t="s">
        <v>2568</v>
      </c>
      <c r="J1" s="617" t="s">
        <v>2566</v>
      </c>
      <c r="K1" s="617"/>
      <c r="L1" s="617"/>
      <c r="M1" s="451" t="s">
        <v>2567</v>
      </c>
      <c r="N1" s="451"/>
      <c r="O1" s="452"/>
      <c r="P1" s="452"/>
      <c r="Q1" s="452"/>
      <c r="R1" s="452"/>
      <c r="S1" s="452"/>
      <c r="V1" s="453"/>
      <c r="W1" s="456" t="s">
        <v>2590</v>
      </c>
      <c r="X1" s="457" t="s">
        <v>2602</v>
      </c>
      <c r="Y1" s="519" t="s">
        <v>2591</v>
      </c>
      <c r="Z1" s="527" t="s">
        <v>2592</v>
      </c>
      <c r="AA1" s="531" t="s">
        <v>2593</v>
      </c>
      <c r="AB1" s="532" t="s">
        <v>2595</v>
      </c>
      <c r="AC1" s="454" t="s">
        <v>2600</v>
      </c>
      <c r="AD1" s="501" t="s">
        <v>2601</v>
      </c>
    </row>
    <row r="2" spans="1:30" s="464" customFormat="1" ht="14" customHeight="1" x14ac:dyDescent="0.3">
      <c r="A2" s="455"/>
      <c r="B2" s="455"/>
      <c r="C2" s="456" t="s">
        <v>2543</v>
      </c>
      <c r="D2" s="456" t="s">
        <v>2545</v>
      </c>
      <c r="E2" s="456" t="s">
        <v>2544</v>
      </c>
      <c r="F2" s="457" t="s">
        <v>2546</v>
      </c>
      <c r="G2" s="456" t="s">
        <v>2427</v>
      </c>
      <c r="H2" s="458" t="s">
        <v>2547</v>
      </c>
      <c r="I2" s="459" t="s">
        <v>2548</v>
      </c>
      <c r="J2" s="460" t="s">
        <v>2544</v>
      </c>
      <c r="K2" s="460" t="s">
        <v>2561</v>
      </c>
      <c r="L2" s="460" t="s">
        <v>2560</v>
      </c>
      <c r="M2" s="461" t="s">
        <v>2598</v>
      </c>
      <c r="N2" s="461" t="s">
        <v>2599</v>
      </c>
      <c r="O2" s="462" t="s">
        <v>2549</v>
      </c>
      <c r="P2" s="462" t="s">
        <v>2580</v>
      </c>
      <c r="Q2" s="462" t="s">
        <v>2581</v>
      </c>
      <c r="R2" s="455" t="s">
        <v>2560</v>
      </c>
      <c r="S2" s="461" t="s">
        <v>2565</v>
      </c>
      <c r="T2" s="456" t="s">
        <v>2562</v>
      </c>
      <c r="U2" s="456"/>
      <c r="V2" s="463"/>
      <c r="W2" s="455"/>
      <c r="X2" s="523"/>
      <c r="Y2" s="520"/>
      <c r="Z2" s="528"/>
      <c r="AA2" s="525"/>
      <c r="AB2" s="518"/>
      <c r="AD2" s="502"/>
    </row>
    <row r="3" spans="1:30" s="279" customFormat="1" ht="11" x14ac:dyDescent="0.3">
      <c r="C3" s="280"/>
      <c r="D3" s="280"/>
      <c r="E3" s="280"/>
      <c r="F3" s="280">
        <v>1</v>
      </c>
      <c r="G3" s="280"/>
      <c r="H3" s="280"/>
      <c r="I3" s="280">
        <v>2</v>
      </c>
      <c r="J3" s="280">
        <v>3</v>
      </c>
      <c r="K3" s="280">
        <v>4</v>
      </c>
      <c r="L3" s="280"/>
      <c r="M3" s="280">
        <v>5</v>
      </c>
      <c r="N3" s="280">
        <v>6</v>
      </c>
      <c r="O3" s="368">
        <v>7</v>
      </c>
      <c r="P3" s="368"/>
      <c r="Q3" s="368"/>
      <c r="S3" s="280"/>
      <c r="V3" s="465"/>
      <c r="W3" s="522"/>
      <c r="X3" s="524"/>
      <c r="Y3" s="521"/>
      <c r="Z3" s="529"/>
      <c r="AA3" s="526"/>
      <c r="AB3" s="499"/>
      <c r="AD3" s="503"/>
    </row>
    <row r="4" spans="1:30" x14ac:dyDescent="0.35">
      <c r="A4" s="466" t="s">
        <v>77</v>
      </c>
      <c r="B4" s="466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67"/>
      <c r="P4" s="468"/>
      <c r="Q4" s="468"/>
      <c r="R4" s="466"/>
      <c r="S4" s="466"/>
      <c r="V4" s="469"/>
      <c r="W4" s="466"/>
      <c r="X4" s="45"/>
      <c r="Y4" s="477"/>
      <c r="Z4" s="530"/>
      <c r="AA4" s="484"/>
      <c r="AB4" s="495"/>
      <c r="AD4" s="504"/>
    </row>
    <row r="5" spans="1:30" outlineLevel="1" x14ac:dyDescent="0.35">
      <c r="B5" s="4" t="s">
        <v>2473</v>
      </c>
      <c r="C5" s="249">
        <f>COUNTIF(URS確認!$D:$D,B5)</f>
        <v>11</v>
      </c>
      <c r="D5" s="249">
        <v>11</v>
      </c>
      <c r="E5" s="249">
        <v>11</v>
      </c>
      <c r="F5" s="249">
        <f>COUNTIF(URS確認!AQ2:AQ569,LEFT(B5,3))</f>
        <v>11</v>
      </c>
      <c r="G5" s="249">
        <v>11</v>
      </c>
      <c r="H5" s="249">
        <v>11</v>
      </c>
      <c r="I5" s="249">
        <f>COUNTIF(URS確認!AR2:AR570,LEFT(B5,3))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69"/>
      <c r="W5" s="466">
        <f>COUNTIF(URS確認!AQ$2:AQ$569,LEFT(B5,3))</f>
        <v>11</v>
      </c>
      <c r="X5" s="45">
        <f>COUNTIF(URS確認!AR$2:AR$570,LEFT(B5,3))</f>
        <v>0</v>
      </c>
      <c r="Y5" s="477">
        <f>COUNTIF(URS確認!AS$2:AS$569,LEFT(B5,3))</f>
        <v>0</v>
      </c>
      <c r="Z5" s="530">
        <f>COUNTIF(URS確認!AT$2:AT$569,LEFT(B5,3))</f>
        <v>0</v>
      </c>
      <c r="AA5" s="484">
        <f>COUNTIF(URS確認!AU$2:AU$569,LEFT(B5,3))</f>
        <v>0</v>
      </c>
      <c r="AB5" s="495">
        <f>COUNTIF(URS確認!AV$2:AV$570,LEFT(B5,3))</f>
        <v>0</v>
      </c>
      <c r="AC5" s="4">
        <f>SUM(W5:AB5)</f>
        <v>11</v>
      </c>
      <c r="AD5" s="504" t="str">
        <f>IF(AND(X5&gt;0,Y5=0,Z5=0,AA5=0,AB5=0),X5,"")</f>
        <v/>
      </c>
    </row>
    <row r="6" spans="1:30" outlineLevel="1" x14ac:dyDescent="0.35">
      <c r="B6" s="4" t="s">
        <v>2475</v>
      </c>
      <c r="C6" s="249">
        <f>COUNTIF(URS確認!$D:$D,B6)</f>
        <v>2</v>
      </c>
      <c r="D6" s="249">
        <v>2</v>
      </c>
      <c r="E6" s="249">
        <v>2</v>
      </c>
      <c r="F6" s="249">
        <f>COUNTIF(URS確認!AQ3:AQ570,LEFT(B6,3))</f>
        <v>2</v>
      </c>
      <c r="G6" s="249">
        <v>2</v>
      </c>
      <c r="H6" s="249">
        <v>2</v>
      </c>
      <c r="I6" s="249">
        <f>COUNTIF(URS確認!AR3:AR571,LEFT(B6,3))</f>
        <v>0</v>
      </c>
      <c r="K6" s="249" t="str">
        <f t="shared" si="0"/>
        <v/>
      </c>
      <c r="L6" s="24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469"/>
      <c r="W6" s="466">
        <f>COUNTIF(URS確認!AQ$2:AQ$569,LEFT(B6,3))</f>
        <v>2</v>
      </c>
      <c r="X6" s="45">
        <f>COUNTIF(URS確認!AR$2:AR$570,LEFT(B6,3))</f>
        <v>0</v>
      </c>
      <c r="Y6" s="477">
        <f>COUNTIF(URS確認!AS$2:AS$569,LEFT(B6,3))</f>
        <v>0</v>
      </c>
      <c r="Z6" s="530">
        <f>COUNTIF(URS確認!AT$2:AT$569,LEFT(B6,3))</f>
        <v>0</v>
      </c>
      <c r="AA6" s="484">
        <f>COUNTIF(URS確認!AU$2:AU$569,LEFT(B6,3))</f>
        <v>0</v>
      </c>
      <c r="AB6" s="495">
        <f>COUNTIF(URS確認!AV$2:AV$570,LEFT(B6,3))</f>
        <v>0</v>
      </c>
      <c r="AC6" s="4">
        <f t="shared" ref="AC6:AC60" si="4">SUM(W6:AB6)</f>
        <v>2</v>
      </c>
      <c r="AD6" s="504" t="str">
        <f t="shared" ref="AD6:AD8" si="5">IF(AND(X6&gt;0,Y6=0,Z6=0,AA6=0,AB6=0),X6,"")</f>
        <v/>
      </c>
    </row>
    <row r="7" spans="1:30" outlineLevel="1" x14ac:dyDescent="0.35">
      <c r="B7" s="4" t="s">
        <v>2474</v>
      </c>
      <c r="C7" s="249">
        <f>COUNTIF(URS確認!$D:$D,B7)</f>
        <v>2</v>
      </c>
      <c r="D7" s="249">
        <v>2</v>
      </c>
      <c r="E7" s="249">
        <v>2</v>
      </c>
      <c r="F7" s="249">
        <f>COUNTIF(URS確認!AQ4:AQ571,LEFT(B7,3))</f>
        <v>2</v>
      </c>
      <c r="G7" s="249">
        <v>2</v>
      </c>
      <c r="H7" s="249">
        <v>2</v>
      </c>
      <c r="I7" s="249">
        <f>COUNTIF(URS確認!AR4:AR572,LEFT(B7,3))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69"/>
      <c r="W7" s="466">
        <f>COUNTIF(URS確認!AQ$2:AQ$569,LEFT(B7,3))</f>
        <v>2</v>
      </c>
      <c r="X7" s="45">
        <f>COUNTIF(URS確認!AR$2:AR$570,LEFT(B7,3))</f>
        <v>0</v>
      </c>
      <c r="Y7" s="477">
        <f>COUNTIF(URS確認!AS$2:AS$569,LEFT(B7,3))</f>
        <v>0</v>
      </c>
      <c r="Z7" s="530">
        <f>COUNTIF(URS確認!AT$2:AT$569,LEFT(B7,3))</f>
        <v>0</v>
      </c>
      <c r="AA7" s="484">
        <f>COUNTIF(URS確認!AU$2:AU$569,LEFT(B7,3))</f>
        <v>0</v>
      </c>
      <c r="AB7" s="495">
        <f>COUNTIF(URS確認!AV$2:AV$570,LEFT(B7,3))</f>
        <v>0</v>
      </c>
      <c r="AC7" s="4">
        <f t="shared" si="4"/>
        <v>2</v>
      </c>
      <c r="AD7" s="504" t="str">
        <f t="shared" si="5"/>
        <v/>
      </c>
    </row>
    <row r="8" spans="1:30" outlineLevel="1" x14ac:dyDescent="0.35">
      <c r="B8" s="4" t="s">
        <v>2542</v>
      </c>
      <c r="C8" s="249">
        <f>COUNTIF(URS確認!$D:$D,B8)</f>
        <v>0</v>
      </c>
      <c r="D8" s="249">
        <v>1</v>
      </c>
      <c r="E8" s="249">
        <v>1</v>
      </c>
      <c r="F8" s="249">
        <f>COUNTIF(URS確認!AQ5:AQ572,LEFT(B8,3))</f>
        <v>0</v>
      </c>
      <c r="G8" s="249">
        <v>1</v>
      </c>
      <c r="H8" s="249">
        <v>1</v>
      </c>
      <c r="I8" s="249">
        <f>COUNTIF(URS確認!AR5:AR573,LEFT(B8,3))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69"/>
      <c r="W8" s="466">
        <f>COUNTIF(URS確認!AQ$2:AQ$569,LEFT(B8,3))</f>
        <v>0</v>
      </c>
      <c r="X8" s="45">
        <f>COUNTIF(URS確認!AR$2:AR$570,LEFT(B8,3))</f>
        <v>0</v>
      </c>
      <c r="Y8" s="477">
        <f>COUNTIF(URS確認!AS$2:AS$569,LEFT(B8,3))</f>
        <v>0</v>
      </c>
      <c r="Z8" s="530">
        <f>COUNTIF(URS確認!AT$2:AT$569,LEFT(B8,3))</f>
        <v>0</v>
      </c>
      <c r="AA8" s="484">
        <f>COUNTIF(URS確認!AU$2:AU$569,LEFT(B8,3))</f>
        <v>0</v>
      </c>
      <c r="AB8" s="495">
        <f>COUNTIF(URS確認!AV$2:AV$570,LEFT(B8,3))</f>
        <v>0</v>
      </c>
      <c r="AC8" s="4">
        <f t="shared" si="4"/>
        <v>0</v>
      </c>
      <c r="AD8" s="504" t="str">
        <f t="shared" si="5"/>
        <v/>
      </c>
    </row>
    <row r="9" spans="1:30" x14ac:dyDescent="0.35">
      <c r="A9" s="466" t="s">
        <v>78</v>
      </c>
      <c r="B9" s="466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67"/>
      <c r="P9" s="468"/>
      <c r="Q9" s="468"/>
      <c r="R9" s="466"/>
      <c r="S9" s="466"/>
      <c r="V9" s="469"/>
      <c r="W9" s="466"/>
      <c r="X9" s="45"/>
      <c r="Y9" s="477"/>
      <c r="Z9" s="530"/>
      <c r="AA9" s="484"/>
      <c r="AB9" s="495"/>
      <c r="AD9" s="504"/>
    </row>
    <row r="10" spans="1:30" outlineLevel="1" x14ac:dyDescent="0.35">
      <c r="B10" s="4" t="s">
        <v>2471</v>
      </c>
      <c r="C10" s="249">
        <f>COUNTIF(URS確認!$D:$D,B10)</f>
        <v>2</v>
      </c>
      <c r="D10" s="249">
        <v>2</v>
      </c>
      <c r="E10" s="249">
        <v>2</v>
      </c>
      <c r="F10" s="249">
        <f>COUNTIF(URS確認!AQ7:AQ574,LEFT(B10,3))</f>
        <v>2</v>
      </c>
      <c r="G10" s="249">
        <v>2</v>
      </c>
      <c r="H10" s="249">
        <v>2</v>
      </c>
      <c r="I10" s="249">
        <f>COUNTIF(URS確認!AR7:AR575,LEFT(B10,3))</f>
        <v>0</v>
      </c>
      <c r="K10" s="249" t="str">
        <f t="shared" si="0"/>
        <v/>
      </c>
      <c r="L10" s="249">
        <f t="shared" si="1"/>
        <v>0</v>
      </c>
      <c r="P10" s="472" t="s">
        <v>2470</v>
      </c>
      <c r="Q10" s="472" t="s">
        <v>2470</v>
      </c>
      <c r="R10" s="4">
        <f t="shared" si="2"/>
        <v>0</v>
      </c>
      <c r="S10" s="4">
        <f>SUM(O10:Q10)</f>
        <v>0</v>
      </c>
      <c r="V10" s="469"/>
      <c r="W10" s="466">
        <f>COUNTIF(URS確認!AQ$2:AQ$569,LEFT(B10,3))</f>
        <v>2</v>
      </c>
      <c r="X10" s="45">
        <f>COUNTIF(URS確認!AR$2:AR$570,LEFT(B10,3))</f>
        <v>0</v>
      </c>
      <c r="Y10" s="477">
        <f>COUNTIF(URS確認!AS$2:AS$569,LEFT(B10,3))</f>
        <v>0</v>
      </c>
      <c r="Z10" s="530">
        <f>COUNTIF(URS確認!AT$2:AT$569,LEFT(B10,3))</f>
        <v>0</v>
      </c>
      <c r="AA10" s="484">
        <f>COUNTIF(URS確認!AU$2:AU$569,LEFT(B10,3))</f>
        <v>0</v>
      </c>
      <c r="AB10" s="495">
        <f>COUNTIF(URS確認!AV$2:AV$570,LEFT(B10,3))</f>
        <v>0</v>
      </c>
      <c r="AC10" s="4">
        <f t="shared" si="4"/>
        <v>2</v>
      </c>
      <c r="AD10" s="504" t="str">
        <f>IF(AND(X10&gt;0,Y10=0,Z10=0,AA10=0,AB10=0),X10,"")</f>
        <v/>
      </c>
    </row>
    <row r="11" spans="1:30" outlineLevel="1" x14ac:dyDescent="0.35">
      <c r="B11" s="4" t="s">
        <v>2472</v>
      </c>
      <c r="C11" s="249">
        <f>COUNTIF(URS確認!$D:$D,B11)</f>
        <v>20</v>
      </c>
      <c r="D11" s="249">
        <v>20</v>
      </c>
      <c r="E11" s="473">
        <v>18</v>
      </c>
      <c r="F11" s="249">
        <f>COUNTIF(URS確認!AQ8:AQ575,LEFT(B11,3))</f>
        <v>20</v>
      </c>
      <c r="G11" s="249">
        <v>20</v>
      </c>
      <c r="H11" s="249">
        <v>20</v>
      </c>
      <c r="I11" s="249">
        <f>COUNTIF(URS確認!AR8:AR576,LEFT(B11,3))</f>
        <v>0</v>
      </c>
      <c r="J11" s="249">
        <v>18</v>
      </c>
      <c r="K11" s="249">
        <v>2</v>
      </c>
      <c r="L11" s="249">
        <f>SUM(J11:K11)</f>
        <v>20</v>
      </c>
      <c r="P11" s="472" t="s">
        <v>2470</v>
      </c>
      <c r="Q11" s="472" t="s">
        <v>2470</v>
      </c>
      <c r="R11" s="4">
        <f t="shared" si="2"/>
        <v>0</v>
      </c>
      <c r="S11" s="4">
        <f t="shared" ref="S11:S16" si="6">SUM(O11:Q11)</f>
        <v>0</v>
      </c>
      <c r="V11" s="469"/>
      <c r="W11" s="466">
        <f>COUNTIF(URS確認!AQ$2:AQ$569,LEFT(B11,3))</f>
        <v>20</v>
      </c>
      <c r="X11" s="45">
        <f>COUNTIF(URS確認!AR$2:AR$570,LEFT(B11,3))</f>
        <v>0</v>
      </c>
      <c r="Y11" s="477">
        <f>COUNTIF(URS確認!AS$2:AS$569,LEFT(B11,3))</f>
        <v>0</v>
      </c>
      <c r="Z11" s="530">
        <f>COUNTIF(URS確認!AT$2:AT$569,LEFT(B11,3))</f>
        <v>0</v>
      </c>
      <c r="AA11" s="484">
        <f>COUNTIF(URS確認!AU$2:AU$569,LEFT(B11,3))</f>
        <v>0</v>
      </c>
      <c r="AB11" s="495">
        <f>COUNTIF(URS確認!AV$2:AV$570,LEFT(B11,3))</f>
        <v>0</v>
      </c>
      <c r="AC11" s="4">
        <f t="shared" si="4"/>
        <v>20</v>
      </c>
      <c r="AD11" s="504" t="str">
        <f t="shared" ref="AD11:AD16" si="7">IF(AND(X11&gt;0,Y11=0,Z11=0,AA11=0,AB11=0),X11,"")</f>
        <v/>
      </c>
    </row>
    <row r="12" spans="1:30" outlineLevel="1" x14ac:dyDescent="0.35">
      <c r="B12" s="4" t="s">
        <v>2517</v>
      </c>
      <c r="C12" s="249">
        <f>COUNTIF(URS確認!$D:$D,B12)</f>
        <v>10</v>
      </c>
      <c r="D12" s="249">
        <v>10</v>
      </c>
      <c r="E12" s="473">
        <v>10</v>
      </c>
      <c r="F12" s="249">
        <f>COUNTIF(URS確認!AQ9:AQ576,LEFT(B12,3))</f>
        <v>10</v>
      </c>
      <c r="G12" s="249">
        <v>10</v>
      </c>
      <c r="H12" s="249">
        <v>10</v>
      </c>
      <c r="I12" s="249">
        <f>COUNTIF(URS確認!AR9:AR577,LEFT(B12,3))</f>
        <v>0</v>
      </c>
      <c r="K12" s="249" t="str">
        <f>IF(J12="V",C12,"")</f>
        <v/>
      </c>
      <c r="L12" s="249">
        <f t="shared" ref="L12:L60" si="8">SUM(J12:K12)</f>
        <v>0</v>
      </c>
      <c r="P12" s="472" t="s">
        <v>2470</v>
      </c>
      <c r="Q12" s="472" t="s">
        <v>2470</v>
      </c>
      <c r="R12" s="4">
        <f t="shared" si="2"/>
        <v>0</v>
      </c>
      <c r="S12" s="4">
        <f t="shared" si="6"/>
        <v>0</v>
      </c>
      <c r="V12" s="469"/>
      <c r="W12" s="466">
        <f>COUNTIF(URS確認!AQ$2:AQ$569,LEFT(B12,3))</f>
        <v>10</v>
      </c>
      <c r="X12" s="45">
        <f>COUNTIF(URS確認!AR$2:AR$570,LEFT(B12,3))</f>
        <v>0</v>
      </c>
      <c r="Y12" s="477">
        <f>COUNTIF(URS確認!AS$2:AS$569,LEFT(B12,3))</f>
        <v>0</v>
      </c>
      <c r="Z12" s="530">
        <f>COUNTIF(URS確認!AT$2:AT$569,LEFT(B12,3))</f>
        <v>0</v>
      </c>
      <c r="AA12" s="484">
        <f>COUNTIF(URS確認!AU$2:AU$569,LEFT(B12,3))</f>
        <v>0</v>
      </c>
      <c r="AB12" s="495">
        <f>COUNTIF(URS確認!AV$2:AV$570,LEFT(B12,3))</f>
        <v>0</v>
      </c>
      <c r="AC12" s="4">
        <f t="shared" si="4"/>
        <v>10</v>
      </c>
      <c r="AD12" s="504" t="str">
        <f t="shared" si="7"/>
        <v/>
      </c>
    </row>
    <row r="13" spans="1:30" outlineLevel="1" x14ac:dyDescent="0.35">
      <c r="B13" s="4" t="s">
        <v>2518</v>
      </c>
      <c r="C13" s="249">
        <f>COUNTIF(URS確認!$D:$D,B13)</f>
        <v>20</v>
      </c>
      <c r="D13" s="249">
        <v>19</v>
      </c>
      <c r="E13" s="473">
        <v>10</v>
      </c>
      <c r="F13" s="249">
        <f>COUNTIF(URS確認!AQ10:AQ577,LEFT(B13,3))</f>
        <v>20</v>
      </c>
      <c r="G13" s="249">
        <v>19</v>
      </c>
      <c r="H13" s="249">
        <v>19</v>
      </c>
      <c r="I13" s="249">
        <f>COUNTIF(URS確認!AR10:AR578,LEFT(B13,3))</f>
        <v>0</v>
      </c>
      <c r="J13" s="249">
        <v>10</v>
      </c>
      <c r="K13" s="249">
        <v>9</v>
      </c>
      <c r="L13" s="249">
        <f t="shared" si="8"/>
        <v>19</v>
      </c>
      <c r="P13" s="472" t="s">
        <v>2470</v>
      </c>
      <c r="Q13" s="472" t="s">
        <v>2470</v>
      </c>
      <c r="R13" s="4">
        <f t="shared" si="2"/>
        <v>0</v>
      </c>
      <c r="S13" s="4">
        <f t="shared" si="6"/>
        <v>0</v>
      </c>
      <c r="V13" s="469"/>
      <c r="W13" s="466">
        <f>COUNTIF(URS確認!AQ$2:AQ$569,LEFT(B13,3))</f>
        <v>20</v>
      </c>
      <c r="X13" s="45">
        <f>COUNTIF(URS確認!AR$2:AR$570,LEFT(B13,3))</f>
        <v>0</v>
      </c>
      <c r="Y13" s="477">
        <f>COUNTIF(URS確認!AS$2:AS$569,LEFT(B13,3))</f>
        <v>0</v>
      </c>
      <c r="Z13" s="530">
        <f>COUNTIF(URS確認!AT$2:AT$569,LEFT(B13,3))</f>
        <v>0</v>
      </c>
      <c r="AA13" s="484">
        <f>COUNTIF(URS確認!AU$2:AU$569,LEFT(B13,3))</f>
        <v>0</v>
      </c>
      <c r="AB13" s="495">
        <f>COUNTIF(URS確認!AV$2:AV$570,LEFT(B13,3))</f>
        <v>0</v>
      </c>
      <c r="AC13" s="4">
        <f t="shared" si="4"/>
        <v>20</v>
      </c>
      <c r="AD13" s="504" t="str">
        <f t="shared" si="7"/>
        <v/>
      </c>
    </row>
    <row r="14" spans="1:30" outlineLevel="1" x14ac:dyDescent="0.35">
      <c r="B14" s="4" t="s">
        <v>2519</v>
      </c>
      <c r="C14" s="249">
        <f>COUNTIF(URS確認!$D:$D,B14)</f>
        <v>9</v>
      </c>
      <c r="D14" s="249">
        <v>9</v>
      </c>
      <c r="E14" s="249">
        <v>9</v>
      </c>
      <c r="F14" s="249">
        <f>COUNTIF(URS確認!AQ11:AQ578,LEFT(B14,3))</f>
        <v>9</v>
      </c>
      <c r="G14" s="249">
        <v>9</v>
      </c>
      <c r="H14" s="249">
        <v>9</v>
      </c>
      <c r="I14" s="249">
        <f>COUNTIF(URS確認!AR11:AR579,LEFT(B14,3))</f>
        <v>0</v>
      </c>
      <c r="K14" s="249" t="str">
        <f>IF(J14="V",C14,"")</f>
        <v/>
      </c>
      <c r="L14" s="249">
        <f t="shared" si="8"/>
        <v>0</v>
      </c>
      <c r="P14" s="472" t="s">
        <v>2470</v>
      </c>
      <c r="Q14" s="472" t="s">
        <v>2470</v>
      </c>
      <c r="R14" s="4">
        <f t="shared" si="2"/>
        <v>0</v>
      </c>
      <c r="S14" s="4">
        <f t="shared" si="6"/>
        <v>0</v>
      </c>
      <c r="V14" s="469"/>
      <c r="W14" s="466">
        <f>COUNTIF(URS確認!AQ$2:AQ$569,LEFT(B14,3))</f>
        <v>9</v>
      </c>
      <c r="X14" s="45">
        <f>COUNTIF(URS確認!AR$2:AR$570,LEFT(B14,3))</f>
        <v>0</v>
      </c>
      <c r="Y14" s="477">
        <f>COUNTIF(URS確認!AS$2:AS$569,LEFT(B14,3))</f>
        <v>0</v>
      </c>
      <c r="Z14" s="530">
        <f>COUNTIF(URS確認!AT$2:AT$569,LEFT(B14,3))</f>
        <v>0</v>
      </c>
      <c r="AA14" s="484">
        <f>COUNTIF(URS確認!AU$2:AU$569,LEFT(B14,3))</f>
        <v>0</v>
      </c>
      <c r="AB14" s="495">
        <f>COUNTIF(URS確認!AV$2:AV$570,LEFT(B14,3))</f>
        <v>0</v>
      </c>
      <c r="AC14" s="4">
        <f t="shared" si="4"/>
        <v>9</v>
      </c>
      <c r="AD14" s="504" t="str">
        <f t="shared" si="7"/>
        <v/>
      </c>
    </row>
    <row r="15" spans="1:30" outlineLevel="1" x14ac:dyDescent="0.35">
      <c r="B15" s="4" t="s">
        <v>2520</v>
      </c>
      <c r="C15" s="249">
        <f>COUNTIF(URS確認!$D:$D,B15)</f>
        <v>6</v>
      </c>
      <c r="D15" s="249">
        <v>6</v>
      </c>
      <c r="E15" s="249">
        <v>3</v>
      </c>
      <c r="F15" s="249">
        <f>COUNTIF(URS確認!AQ11:AQ579,LEFT(B15,3))</f>
        <v>6</v>
      </c>
      <c r="G15" s="249">
        <v>5</v>
      </c>
      <c r="H15" s="249">
        <v>6</v>
      </c>
      <c r="I15" s="249">
        <f>COUNTIF(URS確認!AR11:AR580,LEFT(B15,3))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72">
        <v>3</v>
      </c>
      <c r="Q15" s="472" t="s">
        <v>2470</v>
      </c>
      <c r="R15" s="4">
        <f t="shared" si="2"/>
        <v>6</v>
      </c>
      <c r="S15" s="4">
        <f t="shared" si="6"/>
        <v>3</v>
      </c>
      <c r="T15" s="4" t="s">
        <v>2563</v>
      </c>
      <c r="V15" s="469"/>
      <c r="W15" s="466">
        <f>COUNTIF(URS確認!AQ$2:AQ$569,LEFT(B15,3))</f>
        <v>6</v>
      </c>
      <c r="X15" s="45">
        <f>COUNTIF(URS確認!AR$2:AR$570,LEFT(B15,3))</f>
        <v>0</v>
      </c>
      <c r="Y15" s="477">
        <f>COUNTIF(URS確認!AS$2:AS$569,LEFT(B15,3))</f>
        <v>0</v>
      </c>
      <c r="Z15" s="530">
        <f>COUNTIF(URS確認!AT$2:AT$569,LEFT(B15,3))</f>
        <v>0</v>
      </c>
      <c r="AA15" s="484">
        <f>COUNTIF(URS確認!AU$2:AU$569,LEFT(B15,3))</f>
        <v>0</v>
      </c>
      <c r="AB15" s="495">
        <f>COUNTIF(URS確認!AV$2:AV$570,LEFT(B15,3))</f>
        <v>0</v>
      </c>
      <c r="AC15" s="4">
        <f t="shared" si="4"/>
        <v>6</v>
      </c>
      <c r="AD15" s="504" t="str">
        <f t="shared" si="7"/>
        <v/>
      </c>
    </row>
    <row r="16" spans="1:30" outlineLevel="1" x14ac:dyDescent="0.35">
      <c r="B16" s="560" t="s">
        <v>2521</v>
      </c>
      <c r="C16" s="249">
        <f>COUNTIF(URS確認!$D:$D,B16)</f>
        <v>12</v>
      </c>
      <c r="D16" s="249">
        <v>11</v>
      </c>
      <c r="E16" s="473">
        <v>9</v>
      </c>
      <c r="F16" s="249">
        <f>COUNTIF(URS確認!AQ12:AQ580,LEFT(B16,3))</f>
        <v>12</v>
      </c>
      <c r="G16" s="249">
        <v>11</v>
      </c>
      <c r="H16" s="249">
        <v>11</v>
      </c>
      <c r="I16" s="249">
        <f>COUNTIF(URS確認!AR12:AR581,LEFT(B16,3))</f>
        <v>0</v>
      </c>
      <c r="J16" s="249">
        <v>9</v>
      </c>
      <c r="K16" s="249">
        <v>2</v>
      </c>
      <c r="L16" s="249">
        <f t="shared" si="8"/>
        <v>11</v>
      </c>
      <c r="P16" s="472" t="s">
        <v>2470</v>
      </c>
      <c r="Q16" s="472" t="s">
        <v>2470</v>
      </c>
      <c r="R16" s="4">
        <f t="shared" si="2"/>
        <v>0</v>
      </c>
      <c r="S16" s="4">
        <f t="shared" si="6"/>
        <v>0</v>
      </c>
      <c r="V16" s="469"/>
      <c r="W16" s="466">
        <f>COUNTIF(URS確認!AQ$2:AQ$569,LEFT(B16,3))</f>
        <v>12</v>
      </c>
      <c r="X16" s="45">
        <f>COUNTIF(URS確認!AR$2:AR$570,LEFT(B16,3))</f>
        <v>0</v>
      </c>
      <c r="Y16" s="477">
        <f>COUNTIF(URS確認!AS$2:AS$569,LEFT(B16,3))</f>
        <v>0</v>
      </c>
      <c r="Z16" s="530">
        <f>COUNTIF(URS確認!AT$2:AT$569,LEFT(B16,3))</f>
        <v>0</v>
      </c>
      <c r="AA16" s="484">
        <f>COUNTIF(URS確認!AU$2:AU$569,LEFT(B16,3))</f>
        <v>0</v>
      </c>
      <c r="AB16" s="495">
        <f>COUNTIF(URS確認!AV$2:AV$570,LEFT(B16,3))</f>
        <v>0</v>
      </c>
      <c r="AC16" s="4">
        <f t="shared" si="4"/>
        <v>12</v>
      </c>
      <c r="AD16" s="504" t="str">
        <f t="shared" si="7"/>
        <v/>
      </c>
    </row>
    <row r="17" spans="1:30" x14ac:dyDescent="0.35">
      <c r="A17" s="466" t="s">
        <v>79</v>
      </c>
      <c r="B17" s="466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67"/>
      <c r="P17" s="468" t="s">
        <v>2470</v>
      </c>
      <c r="Q17" s="468" t="s">
        <v>2470</v>
      </c>
      <c r="R17" s="466"/>
      <c r="S17" s="466"/>
      <c r="V17" s="469"/>
      <c r="W17" s="466"/>
      <c r="X17" s="45"/>
      <c r="Y17" s="477"/>
      <c r="Z17" s="530"/>
      <c r="AA17" s="484"/>
      <c r="AB17" s="495"/>
      <c r="AD17" s="504"/>
    </row>
    <row r="18" spans="1:30" outlineLevel="1" x14ac:dyDescent="0.35">
      <c r="B18" s="4" t="s">
        <v>2522</v>
      </c>
      <c r="C18" s="249">
        <f>COUNTIF(URS確認!$D:$D,B18)</f>
        <v>7</v>
      </c>
      <c r="D18" s="249">
        <v>7</v>
      </c>
      <c r="E18" s="249">
        <v>7</v>
      </c>
      <c r="F18" s="249">
        <f>COUNTIF(URS確認!AQ15:AQ583,LEFT(B18,3))</f>
        <v>7</v>
      </c>
      <c r="G18" s="249">
        <v>7</v>
      </c>
      <c r="H18" s="249">
        <v>7</v>
      </c>
      <c r="I18" s="249">
        <f>COUNTIF(URS確認!AR15:AR584,LEFT(B18,3))</f>
        <v>0</v>
      </c>
      <c r="K18" s="249" t="str">
        <f t="shared" si="9"/>
        <v/>
      </c>
      <c r="L18" s="249">
        <f t="shared" si="8"/>
        <v>0</v>
      </c>
      <c r="P18" s="472" t="s">
        <v>2470</v>
      </c>
      <c r="Q18" s="472" t="s">
        <v>2470</v>
      </c>
      <c r="R18" s="4">
        <f t="shared" si="2"/>
        <v>0</v>
      </c>
      <c r="S18" s="4">
        <f>SUM(O18:Q18)</f>
        <v>0</v>
      </c>
      <c r="V18" s="469"/>
      <c r="W18" s="466">
        <f>COUNTIF(URS確認!AQ$2:AQ$569,LEFT(B18,3))</f>
        <v>7</v>
      </c>
      <c r="X18" s="45">
        <f>COUNTIF(URS確認!AR$2:AR$570,LEFT(B18,3))</f>
        <v>0</v>
      </c>
      <c r="Y18" s="477">
        <f>COUNTIF(URS確認!AS$2:AS$569,LEFT(B18,3))</f>
        <v>0</v>
      </c>
      <c r="Z18" s="530">
        <f>COUNTIF(URS確認!AT$2:AT$569,LEFT(B18,3))</f>
        <v>0</v>
      </c>
      <c r="AA18" s="484">
        <f>COUNTIF(URS確認!AU$2:AU$569,LEFT(B18,3))</f>
        <v>0</v>
      </c>
      <c r="AB18" s="495">
        <f>COUNTIF(URS確認!AV$2:AV$570,LEFT(B18,3))</f>
        <v>0</v>
      </c>
      <c r="AC18" s="4">
        <f t="shared" si="4"/>
        <v>7</v>
      </c>
      <c r="AD18" s="504" t="str">
        <f>IF(AND(X18&gt;0,Y18=0,Z18=0,AA18=0,AB18=0),X18,"")</f>
        <v/>
      </c>
    </row>
    <row r="19" spans="1:30" outlineLevel="1" x14ac:dyDescent="0.35">
      <c r="B19" s="4" t="s">
        <v>2523</v>
      </c>
      <c r="C19" s="249">
        <f>COUNTIF(URS確認!$D:$D,B19)</f>
        <v>9</v>
      </c>
      <c r="D19" s="249">
        <v>9</v>
      </c>
      <c r="E19" s="249">
        <v>9</v>
      </c>
      <c r="F19" s="249">
        <f>COUNTIF(URS確認!AQ16:AQ584,LEFT(B19,3))</f>
        <v>9</v>
      </c>
      <c r="G19" s="249">
        <v>9</v>
      </c>
      <c r="H19" s="249">
        <v>9</v>
      </c>
      <c r="I19" s="249">
        <f>COUNTIF(URS確認!AR16:AR585,LEFT(B19,3))</f>
        <v>0</v>
      </c>
      <c r="K19" s="249" t="str">
        <f t="shared" si="9"/>
        <v/>
      </c>
      <c r="L19" s="249">
        <f t="shared" si="8"/>
        <v>0</v>
      </c>
      <c r="P19" s="472" t="s">
        <v>2470</v>
      </c>
      <c r="Q19" s="472" t="s">
        <v>2470</v>
      </c>
      <c r="R19" s="4">
        <f t="shared" si="2"/>
        <v>0</v>
      </c>
      <c r="S19" s="4">
        <f t="shared" ref="S19:S22" si="10">SUM(O19:Q19)</f>
        <v>0</v>
      </c>
      <c r="V19" s="469"/>
      <c r="W19" s="466">
        <f>COUNTIF(URS確認!AQ$2:AQ$569,LEFT(B19,3))</f>
        <v>9</v>
      </c>
      <c r="X19" s="45">
        <f>COUNTIF(URS確認!AR$2:AR$570,LEFT(B19,3))</f>
        <v>0</v>
      </c>
      <c r="Y19" s="477">
        <f>COUNTIF(URS確認!AS$2:AS$569,LEFT(B19,3))</f>
        <v>0</v>
      </c>
      <c r="Z19" s="530">
        <f>COUNTIF(URS確認!AT$2:AT$569,LEFT(B19,3))</f>
        <v>0</v>
      </c>
      <c r="AA19" s="484">
        <f>COUNTIF(URS確認!AU$2:AU$569,LEFT(B19,3))</f>
        <v>0</v>
      </c>
      <c r="AB19" s="495">
        <f>COUNTIF(URS確認!AV$2:AV$570,LEFT(B19,3))</f>
        <v>0</v>
      </c>
      <c r="AC19" s="4">
        <f t="shared" si="4"/>
        <v>9</v>
      </c>
      <c r="AD19" s="504" t="str">
        <f t="shared" ref="AD19:AD22" si="11">IF(AND(X19&gt;0,Y19=0,Z19=0,AA19=0,AB19=0),X19,"")</f>
        <v/>
      </c>
    </row>
    <row r="20" spans="1:30" outlineLevel="1" x14ac:dyDescent="0.35">
      <c r="B20" s="4" t="s">
        <v>1410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COUNTIF(URS確認!AQ17:AQ585,LEFT(B20,3))</f>
        <v>16</v>
      </c>
      <c r="G20" s="249">
        <v>16</v>
      </c>
      <c r="H20" s="249">
        <v>16</v>
      </c>
      <c r="I20" s="249">
        <f>COUNTIF(URS確認!AR17:AR586,LEFT(B20,3))</f>
        <v>0</v>
      </c>
      <c r="K20" s="249" t="str">
        <f t="shared" si="9"/>
        <v/>
      </c>
      <c r="L20" s="249">
        <f t="shared" si="8"/>
        <v>0</v>
      </c>
      <c r="P20" s="472" t="s">
        <v>2470</v>
      </c>
      <c r="Q20" s="472" t="s">
        <v>2470</v>
      </c>
      <c r="R20" s="4">
        <f t="shared" si="2"/>
        <v>0</v>
      </c>
      <c r="S20" s="4">
        <f t="shared" si="10"/>
        <v>0</v>
      </c>
      <c r="T20" s="4" t="s">
        <v>2460</v>
      </c>
      <c r="V20" s="469"/>
      <c r="W20" s="466">
        <f>COUNTIF(URS確認!AQ$2:AQ$569,LEFT(B20,3))</f>
        <v>16</v>
      </c>
      <c r="X20" s="45">
        <f>COUNTIF(URS確認!AR$2:AR$570,LEFT(B20,3))</f>
        <v>0</v>
      </c>
      <c r="Y20" s="477">
        <f>COUNTIF(URS確認!AS$2:AS$569,LEFT(B20,3))</f>
        <v>0</v>
      </c>
      <c r="Z20" s="530">
        <f>COUNTIF(URS確認!AT$2:AT$569,LEFT(B20,3))</f>
        <v>0</v>
      </c>
      <c r="AA20" s="484">
        <f>COUNTIF(URS確認!AU$2:AU$569,LEFT(B20,3))</f>
        <v>0</v>
      </c>
      <c r="AB20" s="495">
        <f>COUNTIF(URS確認!AV$2:AV$570,LEFT(B20,3))</f>
        <v>0</v>
      </c>
      <c r="AC20" s="4">
        <f t="shared" si="4"/>
        <v>16</v>
      </c>
      <c r="AD20" s="504" t="str">
        <f t="shared" si="11"/>
        <v/>
      </c>
    </row>
    <row r="21" spans="1:30" outlineLevel="1" x14ac:dyDescent="0.35">
      <c r="B21" s="4" t="s">
        <v>2524</v>
      </c>
      <c r="C21" s="249">
        <f>COUNTIF(URS確認!$D:$D,B21)</f>
        <v>3</v>
      </c>
      <c r="D21" s="249">
        <v>3</v>
      </c>
      <c r="E21" s="249">
        <v>3</v>
      </c>
      <c r="F21" s="249">
        <f>COUNTIF(URS確認!AQ18:AQ586,LEFT(B21,3))</f>
        <v>3</v>
      </c>
      <c r="G21" s="249">
        <v>3</v>
      </c>
      <c r="H21" s="249">
        <v>3</v>
      </c>
      <c r="I21" s="249">
        <f>COUNTIF(URS確認!AR18:AR587,LEFT(B21,3))</f>
        <v>0</v>
      </c>
      <c r="K21" s="249" t="str">
        <f t="shared" si="9"/>
        <v/>
      </c>
      <c r="L21" s="249">
        <f t="shared" si="8"/>
        <v>0</v>
      </c>
      <c r="P21" s="472" t="s">
        <v>2470</v>
      </c>
      <c r="Q21" s="472" t="s">
        <v>2470</v>
      </c>
      <c r="R21" s="4">
        <f t="shared" si="2"/>
        <v>0</v>
      </c>
      <c r="S21" s="4">
        <f t="shared" si="10"/>
        <v>0</v>
      </c>
      <c r="V21" s="469"/>
      <c r="W21" s="466">
        <f>COUNTIF(URS確認!AQ$2:AQ$569,LEFT(B21,3))</f>
        <v>3</v>
      </c>
      <c r="X21" s="45">
        <f>COUNTIF(URS確認!AR$2:AR$570,LEFT(B21,3))</f>
        <v>0</v>
      </c>
      <c r="Y21" s="477">
        <f>COUNTIF(URS確認!AS$2:AS$569,LEFT(B21,3))</f>
        <v>0</v>
      </c>
      <c r="Z21" s="530">
        <f>COUNTIF(URS確認!AT$2:AT$569,LEFT(B21,3))</f>
        <v>0</v>
      </c>
      <c r="AA21" s="484">
        <f>COUNTIF(URS確認!AU$2:AU$569,LEFT(B21,3))</f>
        <v>0</v>
      </c>
      <c r="AB21" s="495">
        <f>COUNTIF(URS確認!AV$2:AV$570,LEFT(B21,3))</f>
        <v>0</v>
      </c>
      <c r="AC21" s="4">
        <f t="shared" si="4"/>
        <v>3</v>
      </c>
      <c r="AD21" s="504" t="str">
        <f t="shared" si="11"/>
        <v/>
      </c>
    </row>
    <row r="22" spans="1:30" outlineLevel="1" x14ac:dyDescent="0.35">
      <c r="B22" s="4" t="s">
        <v>2525</v>
      </c>
      <c r="C22" s="249">
        <f>COUNTIF(URS確認!$D:$D,B22)</f>
        <v>3</v>
      </c>
      <c r="D22" s="249">
        <v>3</v>
      </c>
      <c r="E22" s="249">
        <v>3</v>
      </c>
      <c r="F22" s="249">
        <f>COUNTIF(URS確認!AQ19:AQ587,LEFT(B22,3))</f>
        <v>3</v>
      </c>
      <c r="G22" s="249">
        <v>3</v>
      </c>
      <c r="H22" s="249">
        <v>3</v>
      </c>
      <c r="I22" s="249">
        <f>COUNTIF(URS確認!AR19:AR588,LEFT(B22,3))</f>
        <v>0</v>
      </c>
      <c r="K22" s="249" t="str">
        <f t="shared" si="9"/>
        <v/>
      </c>
      <c r="L22" s="249">
        <f t="shared" si="8"/>
        <v>0</v>
      </c>
      <c r="P22" s="472" t="s">
        <v>2470</v>
      </c>
      <c r="Q22" s="472" t="s">
        <v>2470</v>
      </c>
      <c r="R22" s="4">
        <f t="shared" si="2"/>
        <v>0</v>
      </c>
      <c r="S22" s="4">
        <f t="shared" si="10"/>
        <v>0</v>
      </c>
      <c r="V22" s="469"/>
      <c r="W22" s="466">
        <f>COUNTIF(URS確認!AQ$2:AQ$569,LEFT(B22,3))</f>
        <v>3</v>
      </c>
      <c r="X22" s="45">
        <f>COUNTIF(URS確認!AR$2:AR$570,LEFT(B22,3))</f>
        <v>0</v>
      </c>
      <c r="Y22" s="477">
        <f>COUNTIF(URS確認!AS$2:AS$569,LEFT(B22,3))</f>
        <v>0</v>
      </c>
      <c r="Z22" s="530">
        <f>COUNTIF(URS確認!AT$2:AT$569,LEFT(B22,3))</f>
        <v>0</v>
      </c>
      <c r="AA22" s="484">
        <f>COUNTIF(URS確認!AU$2:AU$569,LEFT(B22,3))</f>
        <v>0</v>
      </c>
      <c r="AB22" s="495">
        <f>COUNTIF(URS確認!AV$2:AV$570,LEFT(B22,3))</f>
        <v>0</v>
      </c>
      <c r="AC22" s="4">
        <f t="shared" si="4"/>
        <v>3</v>
      </c>
      <c r="AD22" s="504" t="str">
        <f t="shared" si="11"/>
        <v/>
      </c>
    </row>
    <row r="23" spans="1:30" x14ac:dyDescent="0.35">
      <c r="A23" s="466" t="s">
        <v>80</v>
      </c>
      <c r="B23" s="466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67"/>
      <c r="P23" s="468" t="s">
        <v>2470</v>
      </c>
      <c r="Q23" s="468" t="s">
        <v>2470</v>
      </c>
      <c r="R23" s="466"/>
      <c r="S23" s="466"/>
      <c r="V23" s="469"/>
      <c r="W23" s="466"/>
      <c r="X23" s="45"/>
      <c r="Y23" s="477"/>
      <c r="Z23" s="530"/>
      <c r="AA23" s="484"/>
      <c r="AB23" s="495"/>
      <c r="AD23" s="504"/>
    </row>
    <row r="24" spans="1:30" outlineLevel="1" x14ac:dyDescent="0.35">
      <c r="B24" s="4" t="s">
        <v>354</v>
      </c>
      <c r="C24" s="249">
        <f>COUNTIF(URS確認!$D:$D,B24)</f>
        <v>6</v>
      </c>
      <c r="D24" s="249">
        <v>5</v>
      </c>
      <c r="E24" s="249">
        <v>5</v>
      </c>
      <c r="F24" s="249">
        <f>COUNTIF(URS確認!AQ21:AQ589,LEFT(B24,3))</f>
        <v>6</v>
      </c>
      <c r="G24" s="249">
        <v>5</v>
      </c>
      <c r="H24" s="249">
        <v>5</v>
      </c>
      <c r="I24" s="249">
        <f>COUNTIF(URS確認!AR21:AR590,LEFT(B24,3))</f>
        <v>0</v>
      </c>
      <c r="K24" s="249" t="str">
        <f t="shared" si="9"/>
        <v/>
      </c>
      <c r="L24" s="249">
        <f t="shared" si="8"/>
        <v>0</v>
      </c>
      <c r="P24" s="472" t="s">
        <v>2470</v>
      </c>
      <c r="Q24" s="472" t="s">
        <v>2470</v>
      </c>
      <c r="R24" s="4">
        <f t="shared" si="2"/>
        <v>0</v>
      </c>
      <c r="S24" s="4">
        <f>SUM(O24:Q24)</f>
        <v>0</v>
      </c>
      <c r="V24" s="469"/>
      <c r="W24" s="466">
        <f>COUNTIF(URS確認!AQ$2:AQ$569,LEFT(B24,3))</f>
        <v>6</v>
      </c>
      <c r="X24" s="45">
        <f>COUNTIF(URS確認!AR$2:AR$570,LEFT(B24,3))</f>
        <v>0</v>
      </c>
      <c r="Y24" s="477">
        <f>COUNTIF(URS確認!AS$2:AS$569,LEFT(B24,3))</f>
        <v>0</v>
      </c>
      <c r="Z24" s="530">
        <f>COUNTIF(URS確認!AT$2:AT$569,LEFT(B24,3))</f>
        <v>0</v>
      </c>
      <c r="AA24" s="484">
        <f>COUNTIF(URS確認!AU$2:AU$569,LEFT(B24,3))</f>
        <v>0</v>
      </c>
      <c r="AB24" s="495">
        <f>COUNTIF(URS確認!AV$2:AV$570,LEFT(B24,3))</f>
        <v>0</v>
      </c>
      <c r="AC24" s="4">
        <f t="shared" si="4"/>
        <v>6</v>
      </c>
      <c r="AD24" s="504" t="str">
        <f>IF(AND(X24&gt;0,Y24=0,Z24=0,AA24=0,AB24=0),X24,"")</f>
        <v/>
      </c>
    </row>
    <row r="25" spans="1:30" outlineLevel="1" x14ac:dyDescent="0.35">
      <c r="B25" s="560" t="s">
        <v>396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COUNTIF(URS確認!AQ22:AQ590,LEFT(B25,3))</f>
        <v>17</v>
      </c>
      <c r="G25" s="249">
        <v>16</v>
      </c>
      <c r="H25" s="249">
        <v>16</v>
      </c>
      <c r="I25" s="249">
        <f>COUNTIF(URS確認!AR22:AR591,LEFT(B25,3))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72" t="s">
        <v>2470</v>
      </c>
      <c r="Q25" s="472">
        <v>1</v>
      </c>
      <c r="R25" s="4">
        <f t="shared" si="2"/>
        <v>17</v>
      </c>
      <c r="S25" s="4">
        <f t="shared" ref="S25:S30" si="12">SUM(O25:Q25)</f>
        <v>1</v>
      </c>
      <c r="V25" s="469"/>
      <c r="W25" s="466">
        <f>COUNTIF(URS確認!AQ$2:AQ$569,LEFT(B25,3))</f>
        <v>17</v>
      </c>
      <c r="X25" s="45">
        <f>COUNTIF(URS確認!AR$2:AR$570,LEFT(B25,3))</f>
        <v>0</v>
      </c>
      <c r="Y25" s="477">
        <f>COUNTIF(URS確認!AS$2:AS$569,LEFT(B25,3))</f>
        <v>0</v>
      </c>
      <c r="Z25" s="530">
        <f>COUNTIF(URS確認!AT$2:AT$569,LEFT(B25,3))</f>
        <v>0</v>
      </c>
      <c r="AA25" s="484">
        <f>COUNTIF(URS確認!AU$2:AU$569,LEFT(B25,3))</f>
        <v>0</v>
      </c>
      <c r="AB25" s="495">
        <f>COUNTIF(URS確認!AV$2:AV$570,LEFT(B25,3))</f>
        <v>0</v>
      </c>
      <c r="AC25" s="4">
        <f t="shared" si="4"/>
        <v>17</v>
      </c>
      <c r="AD25" s="504" t="str">
        <f t="shared" ref="AD25:AD30" si="13">IF(AND(X25&gt;0,Y25=0,Z25=0,AA25=0,AB25=0),X25,"")</f>
        <v/>
      </c>
    </row>
    <row r="26" spans="1:30" outlineLevel="1" x14ac:dyDescent="0.35">
      <c r="B26" s="560" t="s">
        <v>810</v>
      </c>
      <c r="C26" s="249">
        <f>COUNTIF(URS確認!$D:$D,B26)</f>
        <v>8</v>
      </c>
      <c r="D26" s="249">
        <v>8</v>
      </c>
      <c r="E26" s="249">
        <v>8</v>
      </c>
      <c r="F26" s="249">
        <f>COUNTIF(URS確認!AQ23:AQ591,LEFT(B26,3))</f>
        <v>8</v>
      </c>
      <c r="G26" s="249">
        <v>8</v>
      </c>
      <c r="H26" s="249">
        <v>8</v>
      </c>
      <c r="I26" s="249">
        <f>COUNTIF(URS確認!AR23:AR592,LEFT(B26,3))</f>
        <v>0</v>
      </c>
      <c r="K26" s="249" t="str">
        <f t="shared" si="9"/>
        <v/>
      </c>
      <c r="L26" s="249">
        <f t="shared" si="8"/>
        <v>0</v>
      </c>
      <c r="P26" s="472" t="s">
        <v>2470</v>
      </c>
      <c r="Q26" s="472" t="s">
        <v>2470</v>
      </c>
      <c r="R26" s="4">
        <f t="shared" si="2"/>
        <v>0</v>
      </c>
      <c r="S26" s="4">
        <f t="shared" si="12"/>
        <v>0</v>
      </c>
      <c r="V26" s="469"/>
      <c r="W26" s="466">
        <f>COUNTIF(URS確認!AQ$2:AQ$569,LEFT(B26,3))</f>
        <v>8</v>
      </c>
      <c r="X26" s="45">
        <f>COUNTIF(URS確認!AR$2:AR$570,LEFT(B26,3))</f>
        <v>0</v>
      </c>
      <c r="Y26" s="477">
        <f>COUNTIF(URS確認!AS$2:AS$569,LEFT(B26,3))</f>
        <v>0</v>
      </c>
      <c r="Z26" s="530">
        <f>COUNTIF(URS確認!AT$2:AT$569,LEFT(B26,3))</f>
        <v>0</v>
      </c>
      <c r="AA26" s="484">
        <f>COUNTIF(URS確認!AU$2:AU$569,LEFT(B26,3))</f>
        <v>0</v>
      </c>
      <c r="AB26" s="495">
        <f>COUNTIF(URS確認!AV$2:AV$570,LEFT(B26,3))</f>
        <v>0</v>
      </c>
      <c r="AC26" s="4">
        <f t="shared" si="4"/>
        <v>8</v>
      </c>
      <c r="AD26" s="504" t="str">
        <f t="shared" si="13"/>
        <v/>
      </c>
    </row>
    <row r="27" spans="1:30" outlineLevel="1" x14ac:dyDescent="0.35">
      <c r="B27" s="560" t="s">
        <v>364</v>
      </c>
      <c r="C27" s="581">
        <f>COUNTIF(URS確認!$D:$D,B27)+7</f>
        <v>17</v>
      </c>
      <c r="D27" s="249">
        <v>17</v>
      </c>
      <c r="E27" s="249">
        <v>17</v>
      </c>
      <c r="F27" s="249">
        <f>COUNTIF(URS確認!AQ25:AQ593,LEFT(B27,3))</f>
        <v>17</v>
      </c>
      <c r="G27" s="249">
        <v>10</v>
      </c>
      <c r="H27" s="249">
        <v>10</v>
      </c>
      <c r="I27" s="249">
        <f>COUNTIF(URS確認!AR25:AR594,LEFT(B27,3))</f>
        <v>0</v>
      </c>
      <c r="K27" s="249" t="str">
        <f t="shared" si="9"/>
        <v/>
      </c>
      <c r="L27" s="249">
        <f t="shared" si="8"/>
        <v>0</v>
      </c>
      <c r="P27" s="472" t="s">
        <v>2470</v>
      </c>
      <c r="Q27" s="472" t="s">
        <v>2470</v>
      </c>
      <c r="R27" s="4">
        <f t="shared" si="2"/>
        <v>0</v>
      </c>
      <c r="S27" s="4">
        <f t="shared" si="12"/>
        <v>0</v>
      </c>
      <c r="V27" s="469"/>
      <c r="W27" s="466">
        <f>COUNTIF(URS確認!AQ$2:AQ$569,LEFT(B27,3))</f>
        <v>17</v>
      </c>
      <c r="X27" s="45">
        <f>COUNTIF(URS確認!AR$2:AR$570,LEFT(B27,3))</f>
        <v>0</v>
      </c>
      <c r="Y27" s="477">
        <f>COUNTIF(URS確認!AS$2:AS$569,LEFT(B27,3))</f>
        <v>0</v>
      </c>
      <c r="Z27" s="530">
        <f>COUNTIF(URS確認!AT$2:AT$569,LEFT(B27,3))</f>
        <v>0</v>
      </c>
      <c r="AA27" s="484">
        <f>COUNTIF(URS確認!AU$2:AU$569,LEFT(B27,3))</f>
        <v>0</v>
      </c>
      <c r="AB27" s="495">
        <f>COUNTIF(URS確認!AV$2:AV$570,LEFT(B27,3))</f>
        <v>0</v>
      </c>
      <c r="AC27" s="4">
        <f t="shared" si="4"/>
        <v>17</v>
      </c>
      <c r="AD27" s="504" t="str">
        <f t="shared" si="13"/>
        <v/>
      </c>
    </row>
    <row r="28" spans="1:30" outlineLevel="1" x14ac:dyDescent="0.35">
      <c r="B28" s="560" t="s">
        <v>2596</v>
      </c>
      <c r="C28" s="581">
        <f>COUNTIF(URS確認!$D:$D,B28)+8</f>
        <v>8</v>
      </c>
      <c r="D28" s="249">
        <v>8</v>
      </c>
      <c r="E28" s="249">
        <v>8</v>
      </c>
      <c r="F28" s="249">
        <f>COUNTIF(URS確認!AQ26:AQ594,LEFT(B28,3))</f>
        <v>8</v>
      </c>
      <c r="G28" s="249">
        <v>7</v>
      </c>
      <c r="H28" s="249">
        <v>6</v>
      </c>
      <c r="I28" s="249">
        <f>COUNTIF(URS確認!AR26:AR595,LEFT(B28,3))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72" t="s">
        <v>2470</v>
      </c>
      <c r="Q28" s="472">
        <v>1</v>
      </c>
      <c r="R28" s="4">
        <f t="shared" si="2"/>
        <v>7</v>
      </c>
      <c r="S28" s="4">
        <f t="shared" si="12"/>
        <v>1</v>
      </c>
      <c r="V28" s="469"/>
      <c r="W28" s="466">
        <f>COUNTIF(URS確認!AQ$2:AQ$569,LEFT(B28,3))</f>
        <v>8</v>
      </c>
      <c r="X28" s="45">
        <f>COUNTIF(URS確認!AR$2:AR$570,LEFT(B28,3))</f>
        <v>0</v>
      </c>
      <c r="Y28" s="477">
        <f>COUNTIF(URS確認!AS$2:AS$569,LEFT(B28,3))</f>
        <v>0</v>
      </c>
      <c r="Z28" s="530">
        <f>COUNTIF(URS確認!AT$2:AT$569,LEFT(B28,3))</f>
        <v>0</v>
      </c>
      <c r="AA28" s="484">
        <f>COUNTIF(URS確認!AU$2:AU$569,LEFT(B28,3))</f>
        <v>0</v>
      </c>
      <c r="AB28" s="495">
        <f>COUNTIF(URS確認!AV$2:AV$570,LEFT(B28,3))</f>
        <v>0</v>
      </c>
      <c r="AC28" s="4">
        <f t="shared" si="4"/>
        <v>8</v>
      </c>
      <c r="AD28" s="504" t="str">
        <f t="shared" si="13"/>
        <v/>
      </c>
    </row>
    <row r="29" spans="1:30" outlineLevel="1" x14ac:dyDescent="0.35">
      <c r="B29" s="560" t="s">
        <v>425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COUNTIF(URS確認!AQ28:AQ596,LEFT(B29,3))</f>
        <v>17</v>
      </c>
      <c r="G29" s="249">
        <v>16</v>
      </c>
      <c r="H29" s="249">
        <v>16</v>
      </c>
      <c r="I29" s="249">
        <f>COUNTIF(URS確認!AR28:AR597,LEFT(B29,3))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72" t="s">
        <v>2470</v>
      </c>
      <c r="Q29" s="472">
        <v>1</v>
      </c>
      <c r="R29" s="4">
        <f t="shared" si="2"/>
        <v>17</v>
      </c>
      <c r="S29" s="4">
        <f t="shared" si="12"/>
        <v>1</v>
      </c>
      <c r="V29" s="469"/>
      <c r="W29" s="466">
        <f>COUNTIF(URS確認!AQ$2:AQ$569,LEFT(B29,3))</f>
        <v>17</v>
      </c>
      <c r="X29" s="45">
        <f>COUNTIF(URS確認!AR$2:AR$570,LEFT(B29,3))</f>
        <v>0</v>
      </c>
      <c r="Y29" s="477">
        <f>COUNTIF(URS確認!AS$2:AS$569,LEFT(B29,3))</f>
        <v>0</v>
      </c>
      <c r="Z29" s="530">
        <f>COUNTIF(URS確認!AT$2:AT$569,LEFT(B29,3))</f>
        <v>0</v>
      </c>
      <c r="AA29" s="484">
        <f>COUNTIF(URS確認!AU$2:AU$569,LEFT(B29,3))</f>
        <v>0</v>
      </c>
      <c r="AB29" s="495">
        <f>COUNTIF(URS確認!AV$2:AV$570,LEFT(B29,3))</f>
        <v>0</v>
      </c>
      <c r="AC29" s="4">
        <f t="shared" si="4"/>
        <v>17</v>
      </c>
      <c r="AD29" s="504" t="str">
        <f t="shared" si="13"/>
        <v/>
      </c>
    </row>
    <row r="30" spans="1:30" outlineLevel="1" x14ac:dyDescent="0.35">
      <c r="B30" s="560" t="s">
        <v>405</v>
      </c>
      <c r="C30" s="249">
        <f>COUNTIF(URS確認!$D:$D,B30)</f>
        <v>3</v>
      </c>
      <c r="D30" s="249">
        <v>3</v>
      </c>
      <c r="E30" s="249">
        <v>3</v>
      </c>
      <c r="F30" s="249">
        <f>COUNTIF(URS確認!AQ29:AQ597,LEFT(B30,3))</f>
        <v>3</v>
      </c>
      <c r="G30" s="249">
        <v>2</v>
      </c>
      <c r="H30" s="249">
        <v>2</v>
      </c>
      <c r="I30" s="249">
        <f>COUNTIF(URS確認!AR29:AR598,LEFT(B30,3))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72" t="s">
        <v>2470</v>
      </c>
      <c r="Q30" s="472">
        <v>1</v>
      </c>
      <c r="R30" s="4">
        <f t="shared" si="2"/>
        <v>3</v>
      </c>
      <c r="S30" s="4">
        <f t="shared" si="12"/>
        <v>1</v>
      </c>
      <c r="V30" s="469"/>
      <c r="W30" s="466">
        <f>COUNTIF(URS確認!AQ$2:AQ$569,LEFT(B30,3))</f>
        <v>3</v>
      </c>
      <c r="X30" s="45">
        <f>COUNTIF(URS確認!AR$2:AR$570,LEFT(B30,3))</f>
        <v>0</v>
      </c>
      <c r="Y30" s="477">
        <f>COUNTIF(URS確認!AS$2:AS$569,LEFT(B30,3))</f>
        <v>0</v>
      </c>
      <c r="Z30" s="530">
        <f>COUNTIF(URS確認!AT$2:AT$569,LEFT(B30,3))</f>
        <v>0</v>
      </c>
      <c r="AA30" s="484">
        <f>COUNTIF(URS確認!AU$2:AU$569,LEFT(B30,3))</f>
        <v>0</v>
      </c>
      <c r="AB30" s="495">
        <f>COUNTIF(URS確認!AV$2:AV$570,LEFT(B30,3))</f>
        <v>0</v>
      </c>
      <c r="AC30" s="4">
        <f t="shared" si="4"/>
        <v>3</v>
      </c>
      <c r="AD30" s="504" t="str">
        <f t="shared" si="13"/>
        <v/>
      </c>
    </row>
    <row r="31" spans="1:30" x14ac:dyDescent="0.35">
      <c r="A31" s="466" t="s">
        <v>81</v>
      </c>
      <c r="B31" s="466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67"/>
      <c r="P31" s="468" t="s">
        <v>2470</v>
      </c>
      <c r="Q31" s="468" t="s">
        <v>2470</v>
      </c>
      <c r="R31" s="466"/>
      <c r="S31" s="466"/>
      <c r="V31" s="469"/>
      <c r="W31" s="466"/>
      <c r="X31" s="45"/>
      <c r="Y31" s="477"/>
      <c r="Z31" s="530"/>
      <c r="AA31" s="484"/>
      <c r="AB31" s="495"/>
      <c r="AD31" s="504"/>
    </row>
    <row r="32" spans="1:30" outlineLevel="1" x14ac:dyDescent="0.35">
      <c r="B32" s="4" t="s">
        <v>987</v>
      </c>
      <c r="C32" s="249">
        <f>COUNTIF(URS確認!$D:$D,B32)</f>
        <v>15</v>
      </c>
      <c r="D32" s="249">
        <v>15</v>
      </c>
      <c r="E32" s="473">
        <v>11</v>
      </c>
      <c r="F32" s="249">
        <f>COUNTIF(URS確認!AQ31:AQ599,LEFT(B32,3))</f>
        <v>15</v>
      </c>
      <c r="G32" s="249">
        <v>15</v>
      </c>
      <c r="H32" s="249">
        <v>15</v>
      </c>
      <c r="I32" s="249">
        <f>COUNTIF(URS確認!AR31:AR600,LEFT(B32,3))</f>
        <v>0</v>
      </c>
      <c r="J32" s="249">
        <v>11</v>
      </c>
      <c r="K32" s="249">
        <v>4</v>
      </c>
      <c r="L32" s="249">
        <f t="shared" si="8"/>
        <v>15</v>
      </c>
      <c r="P32" s="472" t="s">
        <v>2470</v>
      </c>
      <c r="Q32" s="472" t="s">
        <v>2470</v>
      </c>
      <c r="R32" s="4">
        <f t="shared" si="2"/>
        <v>0</v>
      </c>
      <c r="S32" s="4">
        <f>SUM(O32:Q32)</f>
        <v>0</v>
      </c>
      <c r="V32" s="469"/>
      <c r="W32" s="466">
        <f>COUNTIF(URS確認!AQ$2:AQ$569,LEFT(B32,3))</f>
        <v>15</v>
      </c>
      <c r="X32" s="45">
        <f>COUNTIF(URS確認!AR$2:AR$570,LEFT(B32,3))</f>
        <v>0</v>
      </c>
      <c r="Y32" s="477">
        <f>COUNTIF(URS確認!AS$2:AS$569,LEFT(B32,3))</f>
        <v>0</v>
      </c>
      <c r="Z32" s="530">
        <f>COUNTIF(URS確認!AT$2:AT$569,LEFT(B32,3))</f>
        <v>0</v>
      </c>
      <c r="AA32" s="484">
        <f>COUNTIF(URS確認!AU$2:AU$569,LEFT(B32,3))</f>
        <v>0</v>
      </c>
      <c r="AB32" s="495">
        <f>COUNTIF(URS確認!AV$2:AV$570,LEFT(B32,3))</f>
        <v>0</v>
      </c>
      <c r="AC32" s="4">
        <f t="shared" si="4"/>
        <v>15</v>
      </c>
      <c r="AD32" s="504" t="str">
        <f>IF(AND(X32&gt;0,Y32=0,Z32=0,AA32=0,AB32=0),X32,"")</f>
        <v/>
      </c>
    </row>
    <row r="33" spans="1:30" outlineLevel="1" x14ac:dyDescent="0.35">
      <c r="B33" s="560" t="s">
        <v>1446</v>
      </c>
      <c r="C33" s="249">
        <f>COUNTIF(URS確認!$D:$D,B33)</f>
        <v>12</v>
      </c>
      <c r="D33" s="249">
        <v>12</v>
      </c>
      <c r="E33" s="473">
        <v>4</v>
      </c>
      <c r="F33" s="249">
        <f>COUNTIF(URS確認!AQ32:AQ600,LEFT(B33,3))</f>
        <v>12</v>
      </c>
      <c r="G33" s="249">
        <v>11</v>
      </c>
      <c r="H33" s="249">
        <v>11</v>
      </c>
      <c r="I33" s="249">
        <f>COUNTIF(URS確認!AR32:AR601,LEFT(B33,3))</f>
        <v>0</v>
      </c>
      <c r="J33" s="249">
        <v>4</v>
      </c>
      <c r="K33" s="249">
        <v>8</v>
      </c>
      <c r="L33" s="249">
        <f t="shared" si="8"/>
        <v>12</v>
      </c>
      <c r="P33" s="472" t="s">
        <v>2470</v>
      </c>
      <c r="Q33" s="472" t="s">
        <v>2470</v>
      </c>
      <c r="R33" s="4">
        <f t="shared" si="2"/>
        <v>0</v>
      </c>
      <c r="S33" s="4">
        <f t="shared" ref="S33:S37" si="14">SUM(O33:Q33)</f>
        <v>0</v>
      </c>
      <c r="V33" s="469"/>
      <c r="W33" s="466">
        <f>COUNTIF(URS確認!AQ$2:AQ$569,LEFT(B33,3))</f>
        <v>12</v>
      </c>
      <c r="X33" s="45">
        <f>COUNTIF(URS確認!AR$2:AR$570,LEFT(B33,3))</f>
        <v>0</v>
      </c>
      <c r="Y33" s="477">
        <f>COUNTIF(URS確認!AS$2:AS$569,LEFT(B33,3))</f>
        <v>0</v>
      </c>
      <c r="Z33" s="530">
        <f>COUNTIF(URS確認!AT$2:AT$569,LEFT(B33,3))</f>
        <v>0</v>
      </c>
      <c r="AA33" s="484">
        <f>COUNTIF(URS確認!AU$2:AU$569,LEFT(B33,3))</f>
        <v>0</v>
      </c>
      <c r="AB33" s="495">
        <f>COUNTIF(URS確認!AV$2:AV$570,LEFT(B33,3))</f>
        <v>0</v>
      </c>
      <c r="AC33" s="4">
        <f t="shared" si="4"/>
        <v>12</v>
      </c>
      <c r="AD33" s="504" t="str">
        <f t="shared" ref="AD33:AD37" si="15">IF(AND(X33&gt;0,Y33=0,Z33=0,AA33=0,AB33=0),X33,"")</f>
        <v/>
      </c>
    </row>
    <row r="34" spans="1:30" outlineLevel="1" x14ac:dyDescent="0.35">
      <c r="B34" s="560" t="s">
        <v>2469</v>
      </c>
      <c r="C34" s="249">
        <f>COUNTIF(URS確認!$D:$D,B34)</f>
        <v>15</v>
      </c>
      <c r="D34" s="249">
        <v>15</v>
      </c>
      <c r="E34" s="473">
        <v>9</v>
      </c>
      <c r="F34" s="249">
        <f>COUNTIF(URS確認!AQ33:AQ601,LEFT(B34,3))</f>
        <v>15</v>
      </c>
      <c r="G34" s="249">
        <v>15</v>
      </c>
      <c r="H34" s="249">
        <v>12</v>
      </c>
      <c r="I34" s="249">
        <f>COUNTIF(URS確認!AR33:AR602,LEFT(B34,3))</f>
        <v>0</v>
      </c>
      <c r="K34" s="249" t="str">
        <f>IF(J34="V",C34,"")</f>
        <v/>
      </c>
      <c r="L34" s="249">
        <f t="shared" si="8"/>
        <v>0</v>
      </c>
      <c r="P34" s="472">
        <v>12</v>
      </c>
      <c r="Q34" s="472">
        <v>3</v>
      </c>
      <c r="R34" s="4">
        <f t="shared" si="2"/>
        <v>15</v>
      </c>
      <c r="S34" s="4">
        <f t="shared" si="14"/>
        <v>15</v>
      </c>
      <c r="V34" s="469"/>
      <c r="W34" s="466">
        <f>COUNTIF(URS確認!AQ$2:AQ$569,LEFT(B34,3))</f>
        <v>15</v>
      </c>
      <c r="X34" s="45">
        <f>COUNTIF(URS確認!AR$2:AR$570,LEFT(B34,3))</f>
        <v>0</v>
      </c>
      <c r="Y34" s="477">
        <f>COUNTIF(URS確認!AS$2:AS$569,LEFT(B34,3))</f>
        <v>0</v>
      </c>
      <c r="Z34" s="530">
        <f>COUNTIF(URS確認!AT$2:AT$569,LEFT(B34,3))</f>
        <v>0</v>
      </c>
      <c r="AA34" s="484">
        <f>COUNTIF(URS確認!AU$2:AU$569,LEFT(B34,3))</f>
        <v>0</v>
      </c>
      <c r="AB34" s="495">
        <f>COUNTIF(URS確認!AV$2:AV$570,LEFT(B34,3))</f>
        <v>0</v>
      </c>
      <c r="AC34" s="4">
        <f t="shared" si="4"/>
        <v>15</v>
      </c>
      <c r="AD34" s="504" t="str">
        <f t="shared" si="15"/>
        <v/>
      </c>
    </row>
    <row r="35" spans="1:30" outlineLevel="1" x14ac:dyDescent="0.35">
      <c r="B35" s="4" t="s">
        <v>2526</v>
      </c>
      <c r="C35" s="249">
        <f>COUNTIF(URS確認!$D:$D,B35)</f>
        <v>15</v>
      </c>
      <c r="D35" s="249">
        <v>15</v>
      </c>
      <c r="E35" s="473"/>
      <c r="F35" s="249">
        <f>COUNTIF(URS確認!AQ34:AQ602,LEFT(B35,3))</f>
        <v>15</v>
      </c>
      <c r="G35" s="249">
        <v>15</v>
      </c>
      <c r="H35" s="249">
        <v>14</v>
      </c>
      <c r="I35" s="249">
        <f>COUNTIF(URS確認!AR34:AR603,LEFT(B35,3))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72" t="s">
        <v>2470</v>
      </c>
      <c r="Q35" s="472">
        <v>1</v>
      </c>
      <c r="R35" s="4">
        <f t="shared" si="2"/>
        <v>15</v>
      </c>
      <c r="S35" s="4">
        <f t="shared" si="14"/>
        <v>1</v>
      </c>
      <c r="V35" s="469"/>
      <c r="W35" s="466">
        <f>COUNTIF(URS確認!AQ$2:AQ$569,LEFT(B35,3))</f>
        <v>15</v>
      </c>
      <c r="X35" s="45">
        <f>COUNTIF(URS確認!AR$2:AR$570,LEFT(B35,3))</f>
        <v>0</v>
      </c>
      <c r="Y35" s="477">
        <f>COUNTIF(URS確認!AS$2:AS$569,LEFT(B35,3))</f>
        <v>0</v>
      </c>
      <c r="Z35" s="530">
        <f>COUNTIF(URS確認!AT$2:AT$569,LEFT(B35,3))</f>
        <v>0</v>
      </c>
      <c r="AA35" s="484">
        <f>COUNTIF(URS確認!AU$2:AU$569,LEFT(B35,3))</f>
        <v>0</v>
      </c>
      <c r="AB35" s="495">
        <f>COUNTIF(URS確認!AV$2:AV$570,LEFT(B35,3))</f>
        <v>0</v>
      </c>
      <c r="AC35" s="4">
        <f t="shared" si="4"/>
        <v>15</v>
      </c>
      <c r="AD35" s="504" t="str">
        <f t="shared" si="15"/>
        <v/>
      </c>
    </row>
    <row r="36" spans="1:30" outlineLevel="1" x14ac:dyDescent="0.35">
      <c r="B36" s="4" t="s">
        <v>2489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COUNTIF(URS確認!AQ35:AQ603,LEFT(B36,3))</f>
        <v>26</v>
      </c>
      <c r="G36" s="249">
        <v>26</v>
      </c>
      <c r="H36" s="249">
        <v>26</v>
      </c>
      <c r="I36" s="249">
        <f>COUNTIF(URS確認!AR35:AR604,LEFT(B36,3))</f>
        <v>0</v>
      </c>
      <c r="K36" s="249" t="str">
        <f>IF(J36="V",C36,"")</f>
        <v/>
      </c>
      <c r="L36" s="249">
        <f t="shared" si="8"/>
        <v>0</v>
      </c>
      <c r="P36" s="472" t="s">
        <v>2470</v>
      </c>
      <c r="Q36" s="472" t="s">
        <v>2470</v>
      </c>
      <c r="R36" s="4">
        <f t="shared" si="2"/>
        <v>0</v>
      </c>
      <c r="S36" s="4">
        <f t="shared" si="14"/>
        <v>0</v>
      </c>
      <c r="V36" s="469"/>
      <c r="W36" s="466">
        <f>COUNTIF(URS確認!AQ$2:AQ$569,LEFT(B36,3))</f>
        <v>26</v>
      </c>
      <c r="X36" s="45">
        <f>COUNTIF(URS確認!AR$2:AR$570,LEFT(B36,3))</f>
        <v>0</v>
      </c>
      <c r="Y36" s="477">
        <f>COUNTIF(URS確認!AS$2:AS$569,LEFT(B36,3))</f>
        <v>0</v>
      </c>
      <c r="Z36" s="530">
        <f>COUNTIF(URS確認!AT$2:AT$569,LEFT(B36,3))</f>
        <v>0</v>
      </c>
      <c r="AA36" s="484">
        <f>COUNTIF(URS確認!AU$2:AU$569,LEFT(B36,3))</f>
        <v>0</v>
      </c>
      <c r="AB36" s="495">
        <f>COUNTIF(URS確認!AV$2:AV$570,LEFT(B36,3))</f>
        <v>0</v>
      </c>
      <c r="AC36" s="4">
        <f t="shared" si="4"/>
        <v>26</v>
      </c>
      <c r="AD36" s="504" t="str">
        <f t="shared" si="15"/>
        <v/>
      </c>
    </row>
    <row r="37" spans="1:30" outlineLevel="1" x14ac:dyDescent="0.35">
      <c r="B37" s="4" t="s">
        <v>2527</v>
      </c>
      <c r="C37" s="249">
        <f>COUNTIF(URS確認!$D:$D,B37)</f>
        <v>4</v>
      </c>
      <c r="D37" s="249">
        <v>4</v>
      </c>
      <c r="F37" s="249">
        <f>COUNTIF(URS確認!AQ36:AQ604,LEFT(B37,3))</f>
        <v>4</v>
      </c>
      <c r="G37" s="249">
        <v>4</v>
      </c>
      <c r="H37" s="249">
        <v>4</v>
      </c>
      <c r="I37" s="249">
        <f>COUNTIF(URS確認!AR36:AR605,LEFT(B37,3))</f>
        <v>0</v>
      </c>
      <c r="J37" s="249">
        <v>0</v>
      </c>
      <c r="K37" s="249">
        <v>4</v>
      </c>
      <c r="L37" s="249">
        <f t="shared" si="8"/>
        <v>4</v>
      </c>
      <c r="P37" s="472" t="s">
        <v>2470</v>
      </c>
      <c r="Q37" s="472" t="s">
        <v>2470</v>
      </c>
      <c r="R37" s="4">
        <f t="shared" si="2"/>
        <v>0</v>
      </c>
      <c r="S37" s="4">
        <f t="shared" si="14"/>
        <v>0</v>
      </c>
      <c r="V37" s="469"/>
      <c r="W37" s="466">
        <f>COUNTIF(URS確認!AQ$2:AQ$569,LEFT(B37,3))</f>
        <v>4</v>
      </c>
      <c r="X37" s="45">
        <f>COUNTIF(URS確認!AR$2:AR$570,LEFT(B37,3))</f>
        <v>0</v>
      </c>
      <c r="Y37" s="477">
        <f>COUNTIF(URS確認!AS$2:AS$569,LEFT(B37,3))</f>
        <v>0</v>
      </c>
      <c r="Z37" s="530">
        <f>COUNTIF(URS確認!AT$2:AT$569,LEFT(B37,3))</f>
        <v>0</v>
      </c>
      <c r="AA37" s="484">
        <f>COUNTIF(URS確認!AU$2:AU$569,LEFT(B37,3))</f>
        <v>0</v>
      </c>
      <c r="AB37" s="495">
        <f>COUNTIF(URS確認!AV$2:AV$570,LEFT(B37,3))</f>
        <v>0</v>
      </c>
      <c r="AC37" s="4">
        <f t="shared" si="4"/>
        <v>4</v>
      </c>
      <c r="AD37" s="504" t="str">
        <f t="shared" si="15"/>
        <v/>
      </c>
    </row>
    <row r="38" spans="1:30" x14ac:dyDescent="0.35">
      <c r="A38" s="466" t="s">
        <v>82</v>
      </c>
      <c r="B38" s="466"/>
      <c r="C38" s="248">
        <f>SUM(C39:C46)</f>
        <v>96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67"/>
      <c r="P38" s="468" t="s">
        <v>2470</v>
      </c>
      <c r="Q38" s="468" t="s">
        <v>2470</v>
      </c>
      <c r="R38" s="466"/>
      <c r="S38" s="466"/>
      <c r="V38" s="469"/>
      <c r="W38" s="466"/>
      <c r="X38" s="45"/>
      <c r="Y38" s="477"/>
      <c r="Z38" s="530"/>
      <c r="AA38" s="484"/>
      <c r="AB38" s="495"/>
      <c r="AD38" s="504"/>
    </row>
    <row r="39" spans="1:30" outlineLevel="1" x14ac:dyDescent="0.35">
      <c r="B39" s="560" t="s">
        <v>2528</v>
      </c>
      <c r="C39" s="249">
        <f>COUNTIF(URS確認!$D:$D,B39)</f>
        <v>4</v>
      </c>
      <c r="D39" s="249">
        <v>4</v>
      </c>
      <c r="E39" s="473"/>
      <c r="F39" s="249">
        <f>COUNTIF(URS確認!AQ38:AQ606,LEFT(B39,3))</f>
        <v>4</v>
      </c>
      <c r="G39" s="249">
        <v>3</v>
      </c>
      <c r="H39" s="249">
        <v>3</v>
      </c>
      <c r="I39" s="249">
        <f>COUNTIF(URS確認!AR38:AR607,LEFT(B39,3))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72">
        <v>2</v>
      </c>
      <c r="Q39" s="472">
        <v>1</v>
      </c>
      <c r="R39" s="4">
        <f t="shared" si="2"/>
        <v>4</v>
      </c>
      <c r="S39" s="4">
        <f>SUM(O39:Q39)</f>
        <v>3</v>
      </c>
      <c r="V39" s="469"/>
      <c r="W39" s="466">
        <f>COUNTIF(URS確認!AQ$2:AQ$569,LEFT(B39,3))</f>
        <v>4</v>
      </c>
      <c r="X39" s="45">
        <f>COUNTIF(URS確認!AR$2:AR$570,LEFT(B39,3))</f>
        <v>0</v>
      </c>
      <c r="Y39" s="477">
        <f>COUNTIF(URS確認!AS$2:AS$569,LEFT(B39,3))</f>
        <v>0</v>
      </c>
      <c r="Z39" s="530">
        <f>COUNTIF(URS確認!AT$2:AT$569,LEFT(B39,3))</f>
        <v>0</v>
      </c>
      <c r="AA39" s="484">
        <f>COUNTIF(URS確認!AU$2:AU$569,LEFT(B39,3))</f>
        <v>0</v>
      </c>
      <c r="AB39" s="495">
        <f>COUNTIF(URS確認!AV$2:AV$570,LEFT(B39,3))</f>
        <v>0</v>
      </c>
      <c r="AC39" s="4">
        <f t="shared" si="4"/>
        <v>4</v>
      </c>
      <c r="AD39" s="504" t="str">
        <f>IF(AND(X39&gt;0,Y39=0,Z39=0,AA39=0,AB39=0),X39,"")</f>
        <v/>
      </c>
    </row>
    <row r="40" spans="1:30" outlineLevel="1" x14ac:dyDescent="0.35">
      <c r="B40" s="4" t="s">
        <v>2529</v>
      </c>
      <c r="C40" s="249">
        <f>COUNTIF(URS確認!$D:$D,B40)</f>
        <v>9</v>
      </c>
      <c r="D40" s="249">
        <v>9</v>
      </c>
      <c r="E40" s="249">
        <v>7</v>
      </c>
      <c r="F40" s="249">
        <f>COUNTIF(URS確認!AQ39:AQ607,LEFT(B40,3))</f>
        <v>9</v>
      </c>
      <c r="G40" s="249">
        <v>9</v>
      </c>
      <c r="H40" s="249">
        <v>9</v>
      </c>
      <c r="I40" s="249">
        <f>COUNTIF(URS確認!AR39:AR608,LEFT(B40,3))</f>
        <v>0</v>
      </c>
      <c r="J40" s="249">
        <v>7</v>
      </c>
      <c r="K40" s="249">
        <v>2</v>
      </c>
      <c r="L40" s="249">
        <f t="shared" si="8"/>
        <v>9</v>
      </c>
      <c r="P40" s="472" t="s">
        <v>2470</v>
      </c>
      <c r="Q40" s="472" t="s">
        <v>2470</v>
      </c>
      <c r="R40" s="4">
        <f t="shared" si="2"/>
        <v>0</v>
      </c>
      <c r="S40" s="4">
        <f t="shared" ref="S40:S46" si="16">SUM(O40:Q40)</f>
        <v>0</v>
      </c>
      <c r="T40" s="4" t="s">
        <v>2563</v>
      </c>
      <c r="V40" s="469"/>
      <c r="W40" s="466">
        <f>COUNTIF(URS確認!AQ$2:AQ$569,LEFT(B40,3))</f>
        <v>9</v>
      </c>
      <c r="X40" s="45">
        <f>COUNTIF(URS確認!AR$2:AR$570,LEFT(B40,3))</f>
        <v>0</v>
      </c>
      <c r="Y40" s="477">
        <f>COUNTIF(URS確認!AS$2:AS$569,LEFT(B40,3))</f>
        <v>0</v>
      </c>
      <c r="Z40" s="530">
        <f>COUNTIF(URS確認!AT$2:AT$569,LEFT(B40,3))</f>
        <v>0</v>
      </c>
      <c r="AA40" s="484">
        <f>COUNTIF(URS確認!AU$2:AU$569,LEFT(B40,3))</f>
        <v>0</v>
      </c>
      <c r="AB40" s="495">
        <f>COUNTIF(URS確認!AV$2:AV$570,LEFT(B40,3))</f>
        <v>0</v>
      </c>
      <c r="AC40" s="4">
        <f t="shared" si="4"/>
        <v>9</v>
      </c>
      <c r="AD40" s="504" t="str">
        <f t="shared" ref="AD40:AD46" si="17">IF(AND(X40&gt;0,Y40=0,Z40=0,AA40=0,AB40=0),X40,"")</f>
        <v/>
      </c>
    </row>
    <row r="41" spans="1:30" outlineLevel="1" x14ac:dyDescent="0.35">
      <c r="B41" s="4" t="s">
        <v>2530</v>
      </c>
      <c r="C41" s="249">
        <f>COUNTIF(URS確認!$D:$D,B41)</f>
        <v>6</v>
      </c>
      <c r="D41" s="249">
        <v>6</v>
      </c>
      <c r="F41" s="249">
        <f>COUNTIF(URS確認!AQ40:AQ608,LEFT(B41,3))</f>
        <v>6</v>
      </c>
      <c r="G41" s="249">
        <v>6</v>
      </c>
      <c r="H41" s="249">
        <v>6</v>
      </c>
      <c r="I41" s="249">
        <f>COUNTIF(URS確認!AR40:AR609,LEFT(B41,3))</f>
        <v>0</v>
      </c>
      <c r="J41" s="249">
        <v>0</v>
      </c>
      <c r="K41" s="249">
        <v>6</v>
      </c>
      <c r="L41" s="249">
        <f t="shared" si="8"/>
        <v>6</v>
      </c>
      <c r="P41" s="472" t="s">
        <v>2470</v>
      </c>
      <c r="Q41" s="472" t="s">
        <v>2470</v>
      </c>
      <c r="R41" s="4">
        <f t="shared" si="2"/>
        <v>0</v>
      </c>
      <c r="S41" s="4">
        <f t="shared" si="16"/>
        <v>0</v>
      </c>
      <c r="T41" s="4" t="s">
        <v>2563</v>
      </c>
      <c r="V41" s="469"/>
      <c r="W41" s="466">
        <f>COUNTIF(URS確認!AQ$2:AQ$569,LEFT(B41,3))</f>
        <v>6</v>
      </c>
      <c r="X41" s="45">
        <f>COUNTIF(URS確認!AR$2:AR$570,LEFT(B41,3))</f>
        <v>0</v>
      </c>
      <c r="Y41" s="477">
        <f>COUNTIF(URS確認!AS$2:AS$569,LEFT(B41,3))</f>
        <v>0</v>
      </c>
      <c r="Z41" s="530">
        <f>COUNTIF(URS確認!AT$2:AT$569,LEFT(B41,3))</f>
        <v>0</v>
      </c>
      <c r="AA41" s="484">
        <f>COUNTIF(URS確認!AU$2:AU$569,LEFT(B41,3))</f>
        <v>0</v>
      </c>
      <c r="AB41" s="495">
        <f>COUNTIF(URS確認!AV$2:AV$570,LEFT(B41,3))</f>
        <v>0</v>
      </c>
      <c r="AC41" s="4">
        <f t="shared" si="4"/>
        <v>6</v>
      </c>
      <c r="AD41" s="504" t="str">
        <f t="shared" si="17"/>
        <v/>
      </c>
    </row>
    <row r="42" spans="1:30" outlineLevel="1" x14ac:dyDescent="0.35">
      <c r="B42" s="4" t="s">
        <v>2531</v>
      </c>
      <c r="C42" s="249">
        <f>COUNTIF(URS確認!$D:$D,B42)</f>
        <v>11</v>
      </c>
      <c r="D42" s="249">
        <v>8</v>
      </c>
      <c r="E42" s="473"/>
      <c r="F42" s="249">
        <f>COUNTIF(URS確認!AQ41:AQ609,LEFT(B42,3))</f>
        <v>11</v>
      </c>
      <c r="G42" s="249">
        <v>7</v>
      </c>
      <c r="H42" s="249">
        <v>8</v>
      </c>
      <c r="I42" s="249">
        <f>COUNTIF(URS確認!AR41:AR610,LEFT(B42,3))</f>
        <v>0</v>
      </c>
      <c r="K42" s="249" t="str">
        <f>IF(J42="V",C42,"")</f>
        <v/>
      </c>
      <c r="L42" s="249">
        <f t="shared" si="8"/>
        <v>0</v>
      </c>
      <c r="P42" s="472">
        <v>8</v>
      </c>
      <c r="Q42" s="472" t="s">
        <v>2470</v>
      </c>
      <c r="R42" s="4">
        <f t="shared" si="2"/>
        <v>8</v>
      </c>
      <c r="S42" s="4">
        <f t="shared" si="16"/>
        <v>8</v>
      </c>
      <c r="V42" s="469"/>
      <c r="W42" s="466">
        <f>COUNTIF(URS確認!AQ$2:AQ$569,LEFT(B42,3))</f>
        <v>11</v>
      </c>
      <c r="X42" s="45">
        <f>COUNTIF(URS確認!AR$2:AR$570,LEFT(B42,3))</f>
        <v>0</v>
      </c>
      <c r="Y42" s="477">
        <f>COUNTIF(URS確認!AS$2:AS$569,LEFT(B42,3))</f>
        <v>0</v>
      </c>
      <c r="Z42" s="530">
        <f>COUNTIF(URS確認!AT$2:AT$569,LEFT(B42,3))</f>
        <v>0</v>
      </c>
      <c r="AA42" s="484">
        <f>COUNTIF(URS確認!AU$2:AU$569,LEFT(B42,3))</f>
        <v>0</v>
      </c>
      <c r="AB42" s="495">
        <f>COUNTIF(URS確認!AV$2:AV$570,LEFT(B42,3))</f>
        <v>0</v>
      </c>
      <c r="AC42" s="4">
        <f t="shared" si="4"/>
        <v>11</v>
      </c>
      <c r="AD42" s="504" t="str">
        <f t="shared" si="17"/>
        <v/>
      </c>
    </row>
    <row r="43" spans="1:30" outlineLevel="1" x14ac:dyDescent="0.35">
      <c r="B43" s="4" t="s">
        <v>2532</v>
      </c>
      <c r="C43" s="249">
        <f>COUNTIF(URS確認!$D:$D,B43)</f>
        <v>7</v>
      </c>
      <c r="D43" s="249">
        <v>7</v>
      </c>
      <c r="E43" s="473">
        <v>4</v>
      </c>
      <c r="F43" s="249">
        <f>COUNTIF(URS確認!AQ42:AQ610,LEFT(B43,3))</f>
        <v>7</v>
      </c>
      <c r="G43" s="249">
        <v>6</v>
      </c>
      <c r="H43" s="249">
        <v>6</v>
      </c>
      <c r="I43" s="249">
        <f>COUNTIF(URS確認!AR42:AR611,LEFT(B43,3))</f>
        <v>0</v>
      </c>
      <c r="L43" s="249">
        <f t="shared" si="8"/>
        <v>0</v>
      </c>
      <c r="M43" s="249">
        <v>4</v>
      </c>
      <c r="N43" s="249">
        <v>2</v>
      </c>
      <c r="P43" s="472" t="s">
        <v>2470</v>
      </c>
      <c r="Q43" s="472">
        <v>1</v>
      </c>
      <c r="R43" s="4">
        <f t="shared" si="2"/>
        <v>7</v>
      </c>
      <c r="S43" s="4">
        <f t="shared" si="16"/>
        <v>1</v>
      </c>
      <c r="V43" s="469"/>
      <c r="W43" s="466">
        <f>COUNTIF(URS確認!AQ$2:AQ$569,LEFT(B43,3))</f>
        <v>7</v>
      </c>
      <c r="X43" s="45">
        <f>COUNTIF(URS確認!AR$2:AR$570,LEFT(B43,3))</f>
        <v>0</v>
      </c>
      <c r="Y43" s="477">
        <f>COUNTIF(URS確認!AS$2:AS$569,LEFT(B43,3))</f>
        <v>0</v>
      </c>
      <c r="Z43" s="530">
        <f>COUNTIF(URS確認!AT$2:AT$569,LEFT(B43,3))</f>
        <v>0</v>
      </c>
      <c r="AA43" s="484">
        <f>COUNTIF(URS確認!AU$2:AU$569,LEFT(B43,3))</f>
        <v>0</v>
      </c>
      <c r="AB43" s="495">
        <f>COUNTIF(URS確認!AV$2:AV$570,LEFT(B43,3))</f>
        <v>0</v>
      </c>
      <c r="AC43" s="4">
        <f t="shared" si="4"/>
        <v>7</v>
      </c>
      <c r="AD43" s="504" t="str">
        <f t="shared" si="17"/>
        <v/>
      </c>
    </row>
    <row r="44" spans="1:30" outlineLevel="1" x14ac:dyDescent="0.35">
      <c r="B44" s="560" t="s">
        <v>2533</v>
      </c>
      <c r="C44" s="249">
        <f>COUNTIF(URS確認!$D:$D,B44)</f>
        <v>23</v>
      </c>
      <c r="D44" s="249">
        <v>20</v>
      </c>
      <c r="E44" s="473">
        <v>12</v>
      </c>
      <c r="F44" s="249">
        <f>COUNTIF(URS確認!AQ43:AQ611,LEFT(B44,3))</f>
        <v>21</v>
      </c>
      <c r="G44" s="249">
        <v>20</v>
      </c>
      <c r="H44" s="249">
        <v>20</v>
      </c>
      <c r="I44" s="249">
        <f>COUNTIF(URS確認!AR43:AR612,LEFT(B44,3))</f>
        <v>0</v>
      </c>
      <c r="J44" s="249">
        <v>12</v>
      </c>
      <c r="K44" s="249">
        <v>8</v>
      </c>
      <c r="L44" s="249">
        <f t="shared" si="8"/>
        <v>20</v>
      </c>
      <c r="P44" s="472" t="s">
        <v>2470</v>
      </c>
      <c r="Q44" s="472" t="s">
        <v>2470</v>
      </c>
      <c r="R44" s="4">
        <f t="shared" si="2"/>
        <v>0</v>
      </c>
      <c r="S44" s="4">
        <f t="shared" si="16"/>
        <v>0</v>
      </c>
      <c r="V44" s="469"/>
      <c r="W44" s="466">
        <f>COUNTIF(URS確認!AQ$2:AQ$569,LEFT(B44,3))</f>
        <v>23</v>
      </c>
      <c r="X44" s="45">
        <f>COUNTIF(URS確認!AR$2:AR$570,LEFT(B44,3))</f>
        <v>0</v>
      </c>
      <c r="Y44" s="477">
        <f>COUNTIF(URS確認!AS$2:AS$569,LEFT(B44,3))</f>
        <v>0</v>
      </c>
      <c r="Z44" s="530">
        <f>COUNTIF(URS確認!AT$2:AT$569,LEFT(B44,3))</f>
        <v>0</v>
      </c>
      <c r="AA44" s="484">
        <f>COUNTIF(URS確認!AU$2:AU$569,LEFT(B44,3))</f>
        <v>0</v>
      </c>
      <c r="AB44" s="495">
        <f>COUNTIF(URS確認!AV$2:AV$570,LEFT(B44,3))</f>
        <v>0</v>
      </c>
      <c r="AC44" s="4">
        <f t="shared" si="4"/>
        <v>23</v>
      </c>
      <c r="AD44" s="504" t="str">
        <f t="shared" si="17"/>
        <v/>
      </c>
    </row>
    <row r="45" spans="1:30" outlineLevel="1" x14ac:dyDescent="0.35">
      <c r="B45" s="560" t="s">
        <v>2534</v>
      </c>
      <c r="C45" s="249">
        <f>COUNTIF(URS確認!$D:$D,B45)</f>
        <v>30</v>
      </c>
      <c r="D45" s="249">
        <v>29</v>
      </c>
      <c r="E45" s="473">
        <v>15</v>
      </c>
      <c r="F45" s="249">
        <f>COUNTIF(URS確認!AQ44:AQ612,LEFT(B45,3))</f>
        <v>30</v>
      </c>
      <c r="G45" s="249">
        <v>29</v>
      </c>
      <c r="H45" s="249">
        <v>29</v>
      </c>
      <c r="I45" s="249">
        <f>COUNTIF(URS確認!AR44:AR613,LEFT(B45,3))</f>
        <v>0</v>
      </c>
      <c r="J45" s="249">
        <v>15</v>
      </c>
      <c r="K45" s="249">
        <v>14</v>
      </c>
      <c r="L45" s="249">
        <f t="shared" si="8"/>
        <v>29</v>
      </c>
      <c r="P45" s="472" t="s">
        <v>2470</v>
      </c>
      <c r="Q45" s="472" t="s">
        <v>2470</v>
      </c>
      <c r="R45" s="4">
        <f t="shared" si="2"/>
        <v>0</v>
      </c>
      <c r="S45" s="4">
        <f t="shared" si="16"/>
        <v>0</v>
      </c>
      <c r="V45" s="469"/>
      <c r="W45" s="466">
        <f>COUNTIF(URS確認!AQ$2:AQ$569,LEFT(B45,3))</f>
        <v>30</v>
      </c>
      <c r="X45" s="45">
        <f>COUNTIF(URS確認!AR$2:AR$570,LEFT(B45,3))</f>
        <v>0</v>
      </c>
      <c r="Y45" s="477">
        <f>COUNTIF(URS確認!AS$2:AS$569,LEFT(B45,3))</f>
        <v>0</v>
      </c>
      <c r="Z45" s="530">
        <f>COUNTIF(URS確認!AT$2:AT$569,LEFT(B45,3))</f>
        <v>0</v>
      </c>
      <c r="AA45" s="484">
        <f>COUNTIF(URS確認!AU$2:AU$569,LEFT(B45,3))</f>
        <v>0</v>
      </c>
      <c r="AB45" s="495">
        <f>COUNTIF(URS確認!AV$2:AV$570,LEFT(B45,3))</f>
        <v>0</v>
      </c>
      <c r="AC45" s="4">
        <f t="shared" si="4"/>
        <v>30</v>
      </c>
      <c r="AD45" s="504" t="str">
        <f t="shared" si="17"/>
        <v/>
      </c>
    </row>
    <row r="46" spans="1:30" outlineLevel="1" x14ac:dyDescent="0.35">
      <c r="B46" s="560" t="s">
        <v>2535</v>
      </c>
      <c r="C46" s="249">
        <f>COUNTIF(URS確認!$D:$D,B46)</f>
        <v>6</v>
      </c>
      <c r="D46" s="249">
        <v>5</v>
      </c>
      <c r="E46" s="473">
        <v>4</v>
      </c>
      <c r="F46" s="249">
        <f>COUNTIF(URS確認!AQ45:AQ613,LEFT(B46,3))</f>
        <v>6</v>
      </c>
      <c r="G46" s="249">
        <v>5</v>
      </c>
      <c r="H46" s="249">
        <v>5</v>
      </c>
      <c r="I46" s="249">
        <f>COUNTIF(URS確認!AR45:AR614,LEFT(B46,3))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72">
        <v>1</v>
      </c>
      <c r="Q46" s="472" t="s">
        <v>2470</v>
      </c>
      <c r="R46" s="4">
        <f t="shared" si="2"/>
        <v>5</v>
      </c>
      <c r="S46" s="4">
        <f t="shared" si="16"/>
        <v>1</v>
      </c>
      <c r="V46" s="469"/>
      <c r="W46" s="466">
        <f>COUNTIF(URS確認!AQ$2:AQ$569,LEFT(B46,3))</f>
        <v>6</v>
      </c>
      <c r="X46" s="45">
        <f>COUNTIF(URS確認!AR$2:AR$570,LEFT(B46,3))</f>
        <v>0</v>
      </c>
      <c r="Y46" s="477">
        <f>COUNTIF(URS確認!AS$2:AS$569,LEFT(B46,3))</f>
        <v>0</v>
      </c>
      <c r="Z46" s="530">
        <f>COUNTIF(URS確認!AT$2:AT$569,LEFT(B46,3))</f>
        <v>0</v>
      </c>
      <c r="AA46" s="484">
        <f>COUNTIF(URS確認!AU$2:AU$569,LEFT(B46,3))</f>
        <v>0</v>
      </c>
      <c r="AB46" s="495">
        <f>COUNTIF(URS確認!AV$2:AV$570,LEFT(B46,3))</f>
        <v>0</v>
      </c>
      <c r="AC46" s="4">
        <f t="shared" si="4"/>
        <v>6</v>
      </c>
      <c r="AD46" s="504" t="str">
        <f t="shared" si="17"/>
        <v/>
      </c>
    </row>
    <row r="47" spans="1:30" x14ac:dyDescent="0.35">
      <c r="A47" s="466" t="s">
        <v>83</v>
      </c>
      <c r="B47" s="466"/>
      <c r="C47" s="248">
        <f>SUM(C48:C49)</f>
        <v>10</v>
      </c>
      <c r="D47" s="248">
        <v>10</v>
      </c>
      <c r="E47" s="248"/>
      <c r="G47" s="248">
        <v>10</v>
      </c>
      <c r="H47" s="248">
        <v>9</v>
      </c>
      <c r="J47" s="248"/>
      <c r="K47" s="248" t="str">
        <f>IF(J47="V",C47,"")</f>
        <v/>
      </c>
      <c r="L47" s="248"/>
      <c r="M47" s="248"/>
      <c r="N47" s="248"/>
      <c r="O47" s="467"/>
      <c r="P47" s="468" t="s">
        <v>2470</v>
      </c>
      <c r="Q47" s="468" t="s">
        <v>2470</v>
      </c>
      <c r="R47" s="466"/>
      <c r="S47" s="466"/>
      <c r="V47" s="469"/>
      <c r="W47" s="466"/>
      <c r="X47" s="45"/>
      <c r="Y47" s="477"/>
      <c r="Z47" s="530"/>
      <c r="AA47" s="484"/>
      <c r="AB47" s="495"/>
      <c r="AD47" s="504"/>
    </row>
    <row r="48" spans="1:30" outlineLevel="1" x14ac:dyDescent="0.35">
      <c r="B48" s="4" t="s">
        <v>2536</v>
      </c>
      <c r="C48" s="249">
        <f>COUNTIF(URS確認!$D:$D,B48)</f>
        <v>1</v>
      </c>
      <c r="D48" s="249">
        <v>1</v>
      </c>
      <c r="E48" s="473"/>
      <c r="F48" s="249">
        <f>COUNTIF(URS確認!AQ47:AQ615,LEFT(B48,3))</f>
        <v>1</v>
      </c>
      <c r="G48" s="249">
        <v>1</v>
      </c>
      <c r="H48" s="249">
        <v>1</v>
      </c>
      <c r="I48" s="249">
        <f>COUNTIF(URS確認!AR47:AR616,LEFT(B48,3))</f>
        <v>0</v>
      </c>
      <c r="J48" s="249">
        <v>0</v>
      </c>
      <c r="K48" s="249">
        <v>1</v>
      </c>
      <c r="L48" s="249">
        <f t="shared" si="8"/>
        <v>1</v>
      </c>
      <c r="P48" s="472" t="s">
        <v>2470</v>
      </c>
      <c r="Q48" s="472" t="s">
        <v>2470</v>
      </c>
      <c r="R48" s="4">
        <f t="shared" si="2"/>
        <v>0</v>
      </c>
      <c r="S48" s="4">
        <f>SUM(O48:Q48)</f>
        <v>0</v>
      </c>
      <c r="V48" s="469"/>
      <c r="W48" s="466">
        <f>COUNTIF(URS確認!AQ$2:AQ$569,LEFT(B48,3))</f>
        <v>1</v>
      </c>
      <c r="X48" s="45">
        <f>COUNTIF(URS確認!AR$2:AR$570,LEFT(B48,3))</f>
        <v>0</v>
      </c>
      <c r="Y48" s="477">
        <f>COUNTIF(URS確認!AS$2:AS$569,LEFT(B48,3))</f>
        <v>0</v>
      </c>
      <c r="Z48" s="530">
        <f>COUNTIF(URS確認!AT$2:AT$569,LEFT(B48,3))</f>
        <v>0</v>
      </c>
      <c r="AA48" s="484">
        <f>COUNTIF(URS確認!AU$2:AU$569,LEFT(B48,3))</f>
        <v>0</v>
      </c>
      <c r="AB48" s="495">
        <f>COUNTIF(URS確認!AV$2:AV$570,LEFT(B48,3))</f>
        <v>0</v>
      </c>
      <c r="AC48" s="4">
        <f t="shared" si="4"/>
        <v>1</v>
      </c>
      <c r="AD48" s="504" t="str">
        <f>IF(AND(X48&gt;0,Y48=0,Z48=0,AA48=0,AB48=0),X48,"")</f>
        <v/>
      </c>
    </row>
    <row r="49" spans="1:30" outlineLevel="1" x14ac:dyDescent="0.35">
      <c r="B49" s="500" t="s">
        <v>2488</v>
      </c>
      <c r="C49" s="249">
        <f>COUNTIF(URS確認!$D:$D,B49)</f>
        <v>9</v>
      </c>
      <c r="D49" s="249">
        <v>9</v>
      </c>
      <c r="E49" s="473"/>
      <c r="F49" s="249">
        <f>COUNTIF(URS確認!AQ48:AQ616,LEFT(B49,3))</f>
        <v>9</v>
      </c>
      <c r="G49" s="249">
        <v>9</v>
      </c>
      <c r="H49" s="249">
        <v>8</v>
      </c>
      <c r="I49" s="249">
        <f>COUNTIF(URS確認!AR48:AR617,LEFT(B49,3))</f>
        <v>0</v>
      </c>
      <c r="K49" s="249" t="str">
        <f>IF(J49="V",C49,"")</f>
        <v/>
      </c>
      <c r="L49" s="249">
        <f t="shared" si="8"/>
        <v>0</v>
      </c>
      <c r="N49" s="249">
        <v>8</v>
      </c>
      <c r="P49" s="472" t="s">
        <v>2470</v>
      </c>
      <c r="Q49" s="472">
        <v>1</v>
      </c>
      <c r="R49" s="4">
        <f t="shared" si="2"/>
        <v>9</v>
      </c>
      <c r="S49" s="4">
        <f>SUM(O49:Q49)</f>
        <v>1</v>
      </c>
      <c r="V49" s="469"/>
      <c r="W49" s="466">
        <f>COUNTIF(URS確認!AQ$2:AQ$569,LEFT(B49,3))</f>
        <v>9</v>
      </c>
      <c r="X49" s="45">
        <f>COUNTIF(URS確認!AR$2:AR$570,LEFT(B49,3))</f>
        <v>0</v>
      </c>
      <c r="Y49" s="477">
        <f>COUNTIF(URS確認!AS$2:AS$569,LEFT(B49,3))</f>
        <v>0</v>
      </c>
      <c r="Z49" s="530">
        <f>COUNTIF(URS確認!AT$2:AT$569,LEFT(B49,3))</f>
        <v>0</v>
      </c>
      <c r="AA49" s="484">
        <f>COUNTIF(URS確認!AU$2:AU$569,LEFT(B49,3))</f>
        <v>0</v>
      </c>
      <c r="AB49" s="495">
        <f>COUNTIF(URS確認!AV$2:AV$570,LEFT(B49,3))</f>
        <v>0</v>
      </c>
      <c r="AC49" s="4">
        <f t="shared" si="4"/>
        <v>9</v>
      </c>
      <c r="AD49" s="504" t="str">
        <f>IF(AND(X49&gt;0,Y49=0,Z49=0,AA49=0,AB49=0),X49,"")</f>
        <v/>
      </c>
    </row>
    <row r="50" spans="1:30" x14ac:dyDescent="0.35">
      <c r="A50" s="466" t="s">
        <v>84</v>
      </c>
      <c r="B50" s="466"/>
      <c r="C50" s="248">
        <f>SUM(C51:C56)</f>
        <v>136</v>
      </c>
      <c r="D50" s="248">
        <v>134</v>
      </c>
      <c r="E50" s="248">
        <v>4</v>
      </c>
      <c r="G50" s="248">
        <v>133</v>
      </c>
      <c r="H50" s="248">
        <v>91</v>
      </c>
      <c r="J50" s="248"/>
      <c r="K50" s="248" t="str">
        <f>IF(J50="V",C50,"")</f>
        <v/>
      </c>
      <c r="L50" s="248"/>
      <c r="M50" s="248"/>
      <c r="N50" s="248"/>
      <c r="O50" s="467"/>
      <c r="P50" s="468" t="s">
        <v>2470</v>
      </c>
      <c r="Q50" s="468" t="s">
        <v>2470</v>
      </c>
      <c r="R50" s="466"/>
      <c r="S50" s="466"/>
      <c r="V50" s="469"/>
      <c r="W50" s="466"/>
      <c r="X50" s="45"/>
      <c r="Y50" s="477"/>
      <c r="Z50" s="530"/>
      <c r="AA50" s="484"/>
      <c r="AB50" s="495"/>
      <c r="AD50" s="504"/>
    </row>
    <row r="51" spans="1:30" outlineLevel="1" x14ac:dyDescent="0.35">
      <c r="B51" s="500" t="s">
        <v>904</v>
      </c>
      <c r="C51" s="249">
        <f>COUNTIF(URS確認!$D:$D,B51)</f>
        <v>8</v>
      </c>
      <c r="D51" s="249">
        <v>7</v>
      </c>
      <c r="E51" s="473">
        <v>2</v>
      </c>
      <c r="F51" s="249">
        <f>COUNTIF(URS確認!AQ50:AQ618,LEFT(B51,3))</f>
        <v>8</v>
      </c>
      <c r="G51" s="249">
        <v>7</v>
      </c>
      <c r="H51" s="249">
        <v>2</v>
      </c>
      <c r="I51" s="249">
        <f>COUNTIF(URS確認!AR50:AR619,LEFT(B51,3))</f>
        <v>0</v>
      </c>
      <c r="K51" s="249" t="str">
        <f>IF(J51="V",C51,"")</f>
        <v/>
      </c>
      <c r="L51" s="249">
        <f t="shared" si="8"/>
        <v>0</v>
      </c>
      <c r="M51" s="249">
        <v>2</v>
      </c>
      <c r="P51" s="472">
        <v>5</v>
      </c>
      <c r="Q51" s="472" t="s">
        <v>2470</v>
      </c>
      <c r="R51" s="4">
        <f t="shared" si="2"/>
        <v>7</v>
      </c>
      <c r="S51" s="4">
        <f>SUM(O51:Q51)</f>
        <v>5</v>
      </c>
      <c r="V51" s="469"/>
      <c r="W51" s="466">
        <f>COUNTIF(URS確認!AQ$2:AQ$569,LEFT(B51,3))</f>
        <v>8</v>
      </c>
      <c r="X51" s="45">
        <f>COUNTIF(URS確認!AR$2:AR$570,LEFT(B51,3))</f>
        <v>0</v>
      </c>
      <c r="Y51" s="477">
        <f>COUNTIF(URS確認!AS$2:AS$569,LEFT(B51,3))</f>
        <v>0</v>
      </c>
      <c r="Z51" s="530">
        <f>COUNTIF(URS確認!AT$2:AT$569,LEFT(B51,3))</f>
        <v>0</v>
      </c>
      <c r="AA51" s="484">
        <f>COUNTIF(URS確認!AU$2:AU$569,LEFT(B51,3))</f>
        <v>0</v>
      </c>
      <c r="AB51" s="495">
        <f>COUNTIF(URS確認!AV$2:AV$570,LEFT(B51,3))</f>
        <v>0</v>
      </c>
      <c r="AC51" s="4">
        <f t="shared" si="4"/>
        <v>8</v>
      </c>
      <c r="AD51" s="504" t="str">
        <f>IF(AND(X51&gt;0,Y51=0,Z51=0,AA51=0,AB51=0),X51,"")</f>
        <v/>
      </c>
    </row>
    <row r="52" spans="1:30" outlineLevel="1" x14ac:dyDescent="0.35">
      <c r="B52" s="4" t="s">
        <v>922</v>
      </c>
      <c r="C52" s="249">
        <f>COUNTIF(URS確認!$D:$D,B52)</f>
        <v>10</v>
      </c>
      <c r="D52" s="249">
        <v>9</v>
      </c>
      <c r="E52" s="473">
        <v>2</v>
      </c>
      <c r="F52" s="249">
        <f>COUNTIF(URS確認!AQ51:AQ619,LEFT(B52,3))</f>
        <v>10</v>
      </c>
      <c r="G52" s="249">
        <v>8</v>
      </c>
      <c r="H52" s="249">
        <v>8</v>
      </c>
      <c r="I52" s="249">
        <f>COUNTIF(URS確認!AR51:AR620,LEFT(B52,3))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N52" s="249">
        <v>6</v>
      </c>
      <c r="P52" s="472" t="s">
        <v>2470</v>
      </c>
      <c r="Q52" s="472">
        <v>1</v>
      </c>
      <c r="R52" s="4">
        <f t="shared" si="2"/>
        <v>9</v>
      </c>
      <c r="S52" s="4">
        <f t="shared" ref="S52:S56" si="18">SUM(O52:Q52)</f>
        <v>1</v>
      </c>
      <c r="V52" s="469"/>
      <c r="W52" s="466">
        <f>COUNTIF(URS確認!AQ$2:AQ$569,LEFT(B52,3))</f>
        <v>10</v>
      </c>
      <c r="X52" s="45">
        <f>COUNTIF(URS確認!AR$2:AR$570,LEFT(B52,3))</f>
        <v>0</v>
      </c>
      <c r="Y52" s="477">
        <f>COUNTIF(URS確認!AS$2:AS$569,LEFT(B52,3))</f>
        <v>0</v>
      </c>
      <c r="Z52" s="530">
        <f>COUNTIF(URS確認!AT$2:AT$569,LEFT(B52,3))</f>
        <v>0</v>
      </c>
      <c r="AA52" s="484">
        <f>COUNTIF(URS確認!AU$2:AU$569,LEFT(B52,3))</f>
        <v>0</v>
      </c>
      <c r="AB52" s="495">
        <f>COUNTIF(URS確認!AV$2:AV$570,LEFT(B52,3))</f>
        <v>0</v>
      </c>
      <c r="AC52" s="4">
        <f t="shared" si="4"/>
        <v>10</v>
      </c>
      <c r="AD52" s="504" t="str">
        <f t="shared" ref="AD52:AD56" si="19">IF(AND(X52&gt;0,Y52=0,Z52=0,AA52=0,AB52=0),X52,"")</f>
        <v/>
      </c>
    </row>
    <row r="53" spans="1:30" outlineLevel="1" x14ac:dyDescent="0.35">
      <c r="B53" s="500" t="s">
        <v>2537</v>
      </c>
      <c r="C53" s="249">
        <f>COUNTIF(URS確認!$D:$D,B53)</f>
        <v>112</v>
      </c>
      <c r="D53" s="249">
        <v>112</v>
      </c>
      <c r="E53" s="473"/>
      <c r="F53" s="249">
        <f>COUNTIF(URS確認!AQ52:AQ620,LEFT(B53,3))</f>
        <v>112</v>
      </c>
      <c r="G53" s="249">
        <v>112</v>
      </c>
      <c r="H53" s="249">
        <v>75</v>
      </c>
      <c r="I53" s="249">
        <f>COUNTIF(URS確認!AR52:AR621,LEFT(B53,3))</f>
        <v>0</v>
      </c>
      <c r="K53" s="249" t="str">
        <f>IF(J53="V",C53,"")</f>
        <v/>
      </c>
      <c r="L53" s="249">
        <f t="shared" si="8"/>
        <v>0</v>
      </c>
      <c r="N53" s="249">
        <v>75</v>
      </c>
      <c r="P53" s="472" t="s">
        <v>2470</v>
      </c>
      <c r="Q53" s="472">
        <v>37</v>
      </c>
      <c r="R53" s="4">
        <f t="shared" si="2"/>
        <v>112</v>
      </c>
      <c r="S53" s="4">
        <f t="shared" si="18"/>
        <v>37</v>
      </c>
      <c r="V53" s="469"/>
      <c r="W53" s="466">
        <f>COUNTIF(URS確認!AQ$2:AQ$569,LEFT(B53,3))</f>
        <v>112</v>
      </c>
      <c r="X53" s="45">
        <f>COUNTIF(URS確認!AR$2:AR$570,LEFT(B53,3))</f>
        <v>0</v>
      </c>
      <c r="Y53" s="477">
        <f>COUNTIF(URS確認!AS$2:AS$569,LEFT(B53,3))</f>
        <v>0</v>
      </c>
      <c r="Z53" s="530">
        <f>COUNTIF(URS確認!AT$2:AT$569,LEFT(B53,3))</f>
        <v>0</v>
      </c>
      <c r="AA53" s="484">
        <f>COUNTIF(URS確認!AU$2:AU$569,LEFT(B53,3))</f>
        <v>0</v>
      </c>
      <c r="AB53" s="495">
        <f>COUNTIF(URS確認!AV$2:AV$570,LEFT(B53,3))</f>
        <v>0</v>
      </c>
      <c r="AC53" s="4">
        <f t="shared" si="4"/>
        <v>112</v>
      </c>
      <c r="AD53" s="504" t="str">
        <f t="shared" si="19"/>
        <v/>
      </c>
    </row>
    <row r="54" spans="1:30" outlineLevel="1" x14ac:dyDescent="0.35">
      <c r="B54" s="4" t="s">
        <v>2538</v>
      </c>
      <c r="C54" s="249">
        <f>COUNTIF(URS確認!$D:$D,B54)</f>
        <v>2</v>
      </c>
      <c r="D54" s="249">
        <v>2</v>
      </c>
      <c r="E54" s="473"/>
      <c r="F54" s="249">
        <f>COUNTIF(URS確認!AQ55:AQ621,LEFT(B54,3))</f>
        <v>2</v>
      </c>
      <c r="G54" s="249">
        <v>2</v>
      </c>
      <c r="H54" s="249">
        <v>2</v>
      </c>
      <c r="I54" s="249">
        <f>COUNTIF(URS確認!AR55:AR622,LEFT(B54,3))</f>
        <v>0</v>
      </c>
      <c r="J54" s="249">
        <v>0</v>
      </c>
      <c r="K54" s="249">
        <v>2</v>
      </c>
      <c r="L54" s="249">
        <f t="shared" si="8"/>
        <v>2</v>
      </c>
      <c r="P54" s="472" t="s">
        <v>2470</v>
      </c>
      <c r="Q54" s="472" t="s">
        <v>2470</v>
      </c>
      <c r="R54" s="4">
        <f t="shared" si="2"/>
        <v>0</v>
      </c>
      <c r="S54" s="4">
        <f t="shared" si="18"/>
        <v>0</v>
      </c>
      <c r="V54" s="469"/>
      <c r="W54" s="466">
        <f>COUNTIF(URS確認!AQ$2:AQ$569,LEFT(B54,3))</f>
        <v>2</v>
      </c>
      <c r="X54" s="45">
        <f>COUNTIF(URS確認!AR$2:AR$570,LEFT(B54,3))</f>
        <v>0</v>
      </c>
      <c r="Y54" s="477">
        <f>COUNTIF(URS確認!AS$2:AS$569,LEFT(B54,3))</f>
        <v>0</v>
      </c>
      <c r="Z54" s="530">
        <f>COUNTIF(URS確認!AT$2:AT$569,LEFT(B54,3))</f>
        <v>0</v>
      </c>
      <c r="AA54" s="484">
        <f>COUNTIF(URS確認!AU$2:AU$569,LEFT(B54,3))</f>
        <v>0</v>
      </c>
      <c r="AB54" s="495">
        <f>COUNTIF(URS確認!AV$2:AV$570,LEFT(B54,3))</f>
        <v>0</v>
      </c>
      <c r="AC54" s="4">
        <f t="shared" si="4"/>
        <v>2</v>
      </c>
      <c r="AD54" s="504" t="str">
        <f t="shared" si="19"/>
        <v/>
      </c>
    </row>
    <row r="55" spans="1:30" outlineLevel="1" x14ac:dyDescent="0.35">
      <c r="B55" s="4" t="s">
        <v>2539</v>
      </c>
      <c r="C55" s="249">
        <f>COUNTIF(URS確認!$D:$D,B55)</f>
        <v>3</v>
      </c>
      <c r="D55" s="249">
        <v>3</v>
      </c>
      <c r="E55" s="473"/>
      <c r="F55" s="249">
        <f>COUNTIF(URS確認!AQ56:AQ622,LEFT(B55,3))</f>
        <v>3</v>
      </c>
      <c r="G55" s="249">
        <v>3</v>
      </c>
      <c r="H55" s="249">
        <v>3</v>
      </c>
      <c r="I55" s="249">
        <f>COUNTIF(URS確認!AR56:AR623,LEFT(B55,3))</f>
        <v>0</v>
      </c>
      <c r="J55" s="249">
        <v>0</v>
      </c>
      <c r="K55" s="249">
        <v>3</v>
      </c>
      <c r="L55" s="249">
        <f t="shared" si="8"/>
        <v>3</v>
      </c>
      <c r="P55" s="472" t="s">
        <v>2470</v>
      </c>
      <c r="Q55" s="472" t="s">
        <v>2470</v>
      </c>
      <c r="R55" s="4">
        <f t="shared" si="2"/>
        <v>0</v>
      </c>
      <c r="S55" s="4">
        <f t="shared" si="18"/>
        <v>0</v>
      </c>
      <c r="V55" s="469"/>
      <c r="W55" s="466">
        <f>COUNTIF(URS確認!AQ$2:AQ$569,LEFT(B55,3))</f>
        <v>3</v>
      </c>
      <c r="X55" s="45">
        <f>COUNTIF(URS確認!AR$2:AR$570,LEFT(B55,3))</f>
        <v>0</v>
      </c>
      <c r="Y55" s="477">
        <f>COUNTIF(URS確認!AS$2:AS$569,LEFT(B55,3))</f>
        <v>0</v>
      </c>
      <c r="Z55" s="530">
        <f>COUNTIF(URS確認!AT$2:AT$569,LEFT(B55,3))</f>
        <v>0</v>
      </c>
      <c r="AA55" s="484">
        <f>COUNTIF(URS確認!AU$2:AU$569,LEFT(B55,3))</f>
        <v>0</v>
      </c>
      <c r="AB55" s="495">
        <f>COUNTIF(URS確認!AV$2:AV$570,LEFT(B55,3))</f>
        <v>0</v>
      </c>
      <c r="AC55" s="4">
        <f t="shared" si="4"/>
        <v>3</v>
      </c>
      <c r="AD55" s="504" t="str">
        <f t="shared" si="19"/>
        <v/>
      </c>
    </row>
    <row r="56" spans="1:30" outlineLevel="1" x14ac:dyDescent="0.35">
      <c r="B56" s="4" t="s">
        <v>918</v>
      </c>
      <c r="C56" s="249">
        <f>COUNTIF(URS確認!$D:$D,B56)</f>
        <v>1</v>
      </c>
      <c r="D56" s="249">
        <v>1</v>
      </c>
      <c r="E56" s="473"/>
      <c r="F56" s="249">
        <f>COUNTIF(URS確認!AQ57:AQ623,LEFT(B56,3))</f>
        <v>1</v>
      </c>
      <c r="G56" s="249">
        <v>1</v>
      </c>
      <c r="H56" s="249">
        <v>1</v>
      </c>
      <c r="I56" s="249">
        <f>COUNTIF(URS確認!AR57:AR624,LEFT(B56,3))</f>
        <v>0</v>
      </c>
      <c r="J56" s="249">
        <v>0</v>
      </c>
      <c r="K56" s="249">
        <v>1</v>
      </c>
      <c r="L56" s="249">
        <f t="shared" si="8"/>
        <v>1</v>
      </c>
      <c r="P56" s="472" t="s">
        <v>2470</v>
      </c>
      <c r="Q56" s="472" t="s">
        <v>2470</v>
      </c>
      <c r="R56" s="4">
        <f t="shared" si="2"/>
        <v>0</v>
      </c>
      <c r="S56" s="4">
        <f t="shared" si="18"/>
        <v>0</v>
      </c>
      <c r="V56" s="469"/>
      <c r="W56" s="466">
        <f>COUNTIF(URS確認!AQ$2:AQ$569,LEFT(B56,3))</f>
        <v>1</v>
      </c>
      <c r="X56" s="45">
        <f>COUNTIF(URS確認!AR$2:AR$570,LEFT(B56,3))</f>
        <v>0</v>
      </c>
      <c r="Y56" s="477">
        <f>COUNTIF(URS確認!AS$2:AS$569,LEFT(B56,3))</f>
        <v>0</v>
      </c>
      <c r="Z56" s="530">
        <f>COUNTIF(URS確認!AT$2:AT$569,LEFT(B56,3))</f>
        <v>0</v>
      </c>
      <c r="AA56" s="484">
        <f>COUNTIF(URS確認!AU$2:AU$569,LEFT(B56,3))</f>
        <v>0</v>
      </c>
      <c r="AB56" s="495">
        <f>COUNTIF(URS確認!AV$2:AV$570,LEFT(B56,3))</f>
        <v>0</v>
      </c>
      <c r="AC56" s="4">
        <f t="shared" si="4"/>
        <v>1</v>
      </c>
      <c r="AD56" s="504" t="str">
        <f t="shared" si="19"/>
        <v/>
      </c>
    </row>
    <row r="57" spans="1:30" x14ac:dyDescent="0.35">
      <c r="A57" s="466" t="s">
        <v>85</v>
      </c>
      <c r="B57" s="466"/>
      <c r="C57" s="248">
        <f>SUM(C58)</f>
        <v>1</v>
      </c>
      <c r="D57" s="248">
        <v>1</v>
      </c>
      <c r="E57" s="248"/>
      <c r="G57" s="248">
        <v>1</v>
      </c>
      <c r="H57" s="248">
        <v>1</v>
      </c>
      <c r="J57" s="248"/>
      <c r="K57" s="248" t="str">
        <f>IF(J57="V",C57,"")</f>
        <v/>
      </c>
      <c r="L57" s="248"/>
      <c r="M57" s="248"/>
      <c r="N57" s="248"/>
      <c r="O57" s="467"/>
      <c r="P57" s="468" t="s">
        <v>2470</v>
      </c>
      <c r="Q57" s="468" t="s">
        <v>2470</v>
      </c>
      <c r="R57" s="466"/>
      <c r="S57" s="466"/>
      <c r="V57" s="469"/>
      <c r="W57" s="466"/>
      <c r="X57" s="45"/>
      <c r="Y57" s="477"/>
      <c r="Z57" s="530"/>
      <c r="AA57" s="484"/>
      <c r="AB57" s="495"/>
      <c r="AD57" s="504"/>
    </row>
    <row r="58" spans="1:30" outlineLevel="1" x14ac:dyDescent="0.35">
      <c r="B58" s="4" t="s">
        <v>2540</v>
      </c>
      <c r="C58" s="249">
        <f>COUNTIF(URS確認!$D:$D,B58)</f>
        <v>1</v>
      </c>
      <c r="D58" s="249">
        <v>1</v>
      </c>
      <c r="E58" s="473"/>
      <c r="F58" s="249">
        <f>COUNTIF(URS確認!AQ59:AQ625,LEFT(B58,3))</f>
        <v>1</v>
      </c>
      <c r="G58" s="249">
        <v>1</v>
      </c>
      <c r="H58" s="249">
        <v>1</v>
      </c>
      <c r="I58" s="249">
        <f>COUNTIF(URS確認!AR59:AR626,LEFT(B58,3))</f>
        <v>0</v>
      </c>
      <c r="J58" s="249">
        <v>0</v>
      </c>
      <c r="K58" s="249">
        <v>1</v>
      </c>
      <c r="L58" s="249">
        <f t="shared" si="8"/>
        <v>1</v>
      </c>
      <c r="P58" s="472" t="s">
        <v>2470</v>
      </c>
      <c r="Q58" s="472" t="s">
        <v>2470</v>
      </c>
      <c r="R58" s="4">
        <f t="shared" si="2"/>
        <v>0</v>
      </c>
      <c r="S58" s="4">
        <f>SUM(O58:Q58)</f>
        <v>0</v>
      </c>
      <c r="V58" s="469"/>
      <c r="W58" s="466">
        <f>COUNTIF(URS確認!AQ$2:AQ$569,LEFT(B58,3))</f>
        <v>1</v>
      </c>
      <c r="X58" s="45">
        <f>COUNTIF(URS確認!AR$2:AR$570,LEFT(B58,3))</f>
        <v>0</v>
      </c>
      <c r="Y58" s="477">
        <f>COUNTIF(URS確認!AS$2:AS$569,LEFT(B58,3))</f>
        <v>0</v>
      </c>
      <c r="Z58" s="530">
        <f>COUNTIF(URS確認!AT$2:AT$569,LEFT(B58,3))</f>
        <v>0</v>
      </c>
      <c r="AA58" s="484">
        <f>COUNTIF(URS確認!AU$2:AU$569,LEFT(B58,3))</f>
        <v>0</v>
      </c>
      <c r="AB58" s="495">
        <f>COUNTIF(URS確認!AV$2:AV$570,LEFT(B58,3))</f>
        <v>0</v>
      </c>
      <c r="AC58" s="4">
        <f t="shared" si="4"/>
        <v>1</v>
      </c>
      <c r="AD58" s="504" t="str">
        <f>IF(AND(X58&gt;0,Y58=0,Z58=0,AA58=0,AB58=0),X58,"")</f>
        <v/>
      </c>
    </row>
    <row r="59" spans="1:30" x14ac:dyDescent="0.35">
      <c r="A59" s="466" t="s">
        <v>2541</v>
      </c>
      <c r="B59" s="466"/>
      <c r="C59" s="248">
        <f>SUM(C60)</f>
        <v>12</v>
      </c>
      <c r="D59" s="248">
        <v>7</v>
      </c>
      <c r="E59" s="248"/>
      <c r="G59" s="248">
        <v>9</v>
      </c>
      <c r="H59" s="248"/>
      <c r="J59" s="248"/>
      <c r="K59" s="248" t="str">
        <f>IF(J59="V",C59,"")</f>
        <v/>
      </c>
      <c r="L59" s="248"/>
      <c r="M59" s="248"/>
      <c r="N59" s="248"/>
      <c r="O59" s="467"/>
      <c r="P59" s="468" t="s">
        <v>2470</v>
      </c>
      <c r="Q59" s="468" t="s">
        <v>2470</v>
      </c>
      <c r="R59" s="466"/>
      <c r="S59" s="466"/>
      <c r="V59" s="469"/>
      <c r="W59" s="466"/>
      <c r="X59" s="45"/>
      <c r="Y59" s="477"/>
      <c r="Z59" s="530"/>
      <c r="AA59" s="484"/>
      <c r="AB59" s="495"/>
      <c r="AD59" s="504"/>
    </row>
    <row r="60" spans="1:30" outlineLevel="1" x14ac:dyDescent="0.35">
      <c r="B60" s="500" t="s">
        <v>2589</v>
      </c>
      <c r="C60" s="249">
        <f>COUNTIF(URS確認!$D:$D,B60)</f>
        <v>12</v>
      </c>
      <c r="D60" s="249">
        <v>7</v>
      </c>
      <c r="E60" s="473"/>
      <c r="F60" s="249">
        <f>COUNTIF(URS確認!AQ63:AQ629,LEFT(B60,3))</f>
        <v>12</v>
      </c>
      <c r="G60" s="249">
        <v>9</v>
      </c>
      <c r="I60" s="249">
        <f>COUNTIF(URS確認!AR61:AR628,LEFT(B60,3))</f>
        <v>0</v>
      </c>
      <c r="K60" s="249" t="str">
        <f>IF(J60="V",C60,"")</f>
        <v/>
      </c>
      <c r="L60" s="249">
        <f t="shared" si="8"/>
        <v>0</v>
      </c>
      <c r="P60" s="472" t="s">
        <v>2470</v>
      </c>
      <c r="Q60" s="472">
        <v>9</v>
      </c>
      <c r="R60" s="4">
        <f t="shared" si="2"/>
        <v>9</v>
      </c>
      <c r="S60" s="4">
        <f>SUM(O60:Q60)</f>
        <v>9</v>
      </c>
      <c r="V60" s="469"/>
      <c r="W60" s="466">
        <f>COUNTIF(URS確認!AQ$2:AQ$569,LEFT(B60,3))</f>
        <v>12</v>
      </c>
      <c r="X60" s="45">
        <f>COUNTIF(URS確認!AR$2:AR$570,LEFT(B60,3))</f>
        <v>0</v>
      </c>
      <c r="Y60" s="477">
        <f>COUNTIF(URS確認!AS$2:AS$569,LEFT(B60,3))</f>
        <v>0</v>
      </c>
      <c r="Z60" s="530">
        <f>COUNTIF(URS確認!AT$2:AT$569,LEFT(B60,3))</f>
        <v>0</v>
      </c>
      <c r="AA60" s="484">
        <f>COUNTIF(URS確認!AU$2:AU$569,LEFT(B60,3))</f>
        <v>0</v>
      </c>
      <c r="AB60" s="495">
        <f>COUNTIF(URS確認!AV$2:AV$570,LEFT(B60,3))</f>
        <v>0</v>
      </c>
      <c r="AC60" s="4">
        <f t="shared" si="4"/>
        <v>12</v>
      </c>
      <c r="AD60" s="504" t="str">
        <f>IF(AND(X60&gt;0,Y60=0,Z60=0,AA60=0,AB60=0),X60,"")</f>
        <v/>
      </c>
    </row>
    <row r="61" spans="1:30" x14ac:dyDescent="0.35">
      <c r="A61" s="469"/>
      <c r="B61" s="469"/>
      <c r="C61" s="474"/>
      <c r="D61" s="474"/>
      <c r="E61" s="474"/>
      <c r="F61" s="474"/>
      <c r="G61" s="474"/>
      <c r="H61" s="474"/>
      <c r="I61" s="474"/>
      <c r="J61" s="474"/>
      <c r="K61" s="474"/>
      <c r="L61" s="474"/>
      <c r="M61" s="474"/>
      <c r="N61" s="474"/>
      <c r="O61" s="475"/>
      <c r="P61" s="476"/>
      <c r="Q61" s="476"/>
      <c r="R61" s="469"/>
      <c r="S61" s="469"/>
      <c r="T61" s="469"/>
      <c r="U61" s="469"/>
      <c r="V61" s="469"/>
      <c r="W61" s="469"/>
      <c r="X61" s="469"/>
      <c r="Y61" s="469"/>
      <c r="Z61" s="469"/>
      <c r="AA61" s="469"/>
      <c r="AB61" s="469"/>
      <c r="AC61" s="463"/>
      <c r="AD61" s="505"/>
    </row>
    <row r="62" spans="1:30" x14ac:dyDescent="0.35">
      <c r="A62" s="477"/>
      <c r="B62" s="564" t="s">
        <v>2560</v>
      </c>
      <c r="C62" s="493">
        <f>C4+C9+C17+C23+C31+C38+C47+C50+C57+C59</f>
        <v>550</v>
      </c>
      <c r="D62" s="248"/>
      <c r="E62" s="248"/>
      <c r="F62" s="478">
        <f>SUM(F5:F60)</f>
        <v>548</v>
      </c>
      <c r="G62" s="248"/>
      <c r="H62" s="248"/>
      <c r="I62" s="479">
        <f t="shared" ref="I62:R62" si="20">SUM(I5:I60)</f>
        <v>0</v>
      </c>
      <c r="J62" s="467">
        <f t="shared" si="20"/>
        <v>86</v>
      </c>
      <c r="K62" s="467">
        <f t="shared" si="20"/>
        <v>67</v>
      </c>
      <c r="L62" s="480">
        <f t="shared" si="20"/>
        <v>153</v>
      </c>
      <c r="M62" s="467">
        <f t="shared" si="20"/>
        <v>54</v>
      </c>
      <c r="N62" s="467">
        <f t="shared" si="20"/>
        <v>107</v>
      </c>
      <c r="O62" s="467">
        <f t="shared" si="20"/>
        <v>0</v>
      </c>
      <c r="P62" s="481">
        <f t="shared" si="20"/>
        <v>31</v>
      </c>
      <c r="Q62" s="481">
        <f t="shared" si="20"/>
        <v>58</v>
      </c>
      <c r="R62" s="470">
        <f t="shared" si="20"/>
        <v>250</v>
      </c>
      <c r="S62" s="466">
        <f>SUM(S6:S60)</f>
        <v>89</v>
      </c>
      <c r="T62" s="482" t="s">
        <v>2570</v>
      </c>
      <c r="U62" s="482">
        <f>F62+I62+L62+R62</f>
        <v>951</v>
      </c>
      <c r="V62" s="483"/>
      <c r="W62" s="477">
        <f>SUM(W5:W60)</f>
        <v>550</v>
      </c>
      <c r="X62" s="477">
        <f t="shared" ref="X62:AD62" si="21">SUM(X5:X60)</f>
        <v>0</v>
      </c>
      <c r="Y62" s="477">
        <f t="shared" si="21"/>
        <v>0</v>
      </c>
      <c r="Z62" s="477">
        <f t="shared" si="21"/>
        <v>0</v>
      </c>
      <c r="AA62" s="477">
        <f t="shared" si="21"/>
        <v>0</v>
      </c>
      <c r="AB62" s="477">
        <f t="shared" si="21"/>
        <v>0</v>
      </c>
      <c r="AC62" s="494">
        <f>SUM(W62:AB62)</f>
        <v>550</v>
      </c>
      <c r="AD62" s="504">
        <f t="shared" si="21"/>
        <v>0</v>
      </c>
    </row>
    <row r="63" spans="1:30" x14ac:dyDescent="0.35">
      <c r="A63" s="496"/>
      <c r="B63" s="565" t="s">
        <v>2564</v>
      </c>
      <c r="C63" s="497"/>
      <c r="F63" s="485">
        <f t="shared" ref="F63:L63" si="22">F62/$C$62</f>
        <v>0.99636363636363634</v>
      </c>
      <c r="G63" s="485">
        <f t="shared" si="22"/>
        <v>0</v>
      </c>
      <c r="H63" s="485">
        <f t="shared" si="22"/>
        <v>0</v>
      </c>
      <c r="I63" s="485">
        <f t="shared" si="22"/>
        <v>0</v>
      </c>
      <c r="J63" s="485"/>
      <c r="K63" s="485"/>
      <c r="L63" s="485">
        <f t="shared" si="22"/>
        <v>0.2781818181818182</v>
      </c>
      <c r="M63" s="485"/>
      <c r="N63" s="485"/>
      <c r="O63" s="485"/>
      <c r="P63" s="485"/>
      <c r="Q63" s="486"/>
      <c r="R63" s="487">
        <f>R62/C62</f>
        <v>0.45454545454545453</v>
      </c>
      <c r="S63" s="488">
        <f>S62/$C$62</f>
        <v>0.16181818181818181</v>
      </c>
      <c r="T63" s="489" t="s">
        <v>2578</v>
      </c>
      <c r="U63" s="489"/>
      <c r="V63" s="490"/>
      <c r="W63" s="533">
        <f>W62/$AC$62</f>
        <v>1</v>
      </c>
      <c r="X63" s="533">
        <f t="shared" ref="X63:AB63" si="23">X62/$AC$62</f>
        <v>0</v>
      </c>
      <c r="Y63" s="533">
        <f t="shared" si="23"/>
        <v>0</v>
      </c>
      <c r="Z63" s="533">
        <f t="shared" si="23"/>
        <v>0</v>
      </c>
      <c r="AA63" s="533">
        <f t="shared" si="23"/>
        <v>0</v>
      </c>
      <c r="AB63" s="533">
        <f t="shared" si="23"/>
        <v>0</v>
      </c>
      <c r="AC63" s="498">
        <f>SUM(W63:AB63)</f>
        <v>1</v>
      </c>
      <c r="AD63" s="534">
        <f>AD62/AC62</f>
        <v>0</v>
      </c>
    </row>
    <row r="64" spans="1:30" x14ac:dyDescent="0.35">
      <c r="R64" s="491"/>
      <c r="AB64" s="535">
        <f>SUM(Z62:AB62)/AC62</f>
        <v>0</v>
      </c>
    </row>
    <row r="65" spans="6:6" x14ac:dyDescent="0.35">
      <c r="F65" s="49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9"/>
  <sheetViews>
    <sheetView tabSelected="1" zoomScaleNormal="100" workbookViewId="0">
      <pane xSplit="6" ySplit="1" topLeftCell="AE212" activePane="bottomRight" state="frozen"/>
      <selection pane="topRight" activeCell="H1" sqref="H1"/>
      <selection pane="bottomLeft" activeCell="A2" sqref="A2"/>
      <selection pane="bottomRight" activeCell="F228" sqref="F228"/>
    </sheetView>
  </sheetViews>
  <sheetFormatPr defaultColWidth="8.69921875" defaultRowHeight="14.5" x14ac:dyDescent="0.3"/>
  <cols>
    <col min="1" max="1" width="11.5" style="537" customWidth="1"/>
    <col min="2" max="2" width="2.3984375" style="276" hidden="1" customWidth="1"/>
    <col min="3" max="3" width="10.19921875" style="275" customWidth="1"/>
    <col min="4" max="4" width="22.19921875" style="214" customWidth="1"/>
    <col min="5" max="5" width="9.19921875" style="276" customWidth="1"/>
    <col min="6" max="6" width="34.19921875" style="289" customWidth="1"/>
    <col min="7" max="7" width="13.5" style="289" customWidth="1"/>
    <col min="8" max="8" width="9" style="276" customWidth="1"/>
    <col min="9" max="9" width="11.3984375" style="289" customWidth="1"/>
    <col min="10" max="10" width="10.8984375" style="290" customWidth="1"/>
    <col min="11" max="11" width="16.5" style="290" bestFit="1" customWidth="1"/>
    <col min="12" max="12" width="16.5" style="290" customWidth="1"/>
    <col min="13" max="13" width="14.5" style="275" customWidth="1"/>
    <col min="14" max="14" width="14.5" style="291" customWidth="1"/>
    <col min="15" max="15" width="12.09765625" style="275" customWidth="1"/>
    <col min="16" max="16" width="14.09765625" style="276" customWidth="1"/>
    <col min="17" max="17" width="11.3984375" style="276" customWidth="1"/>
    <col min="18" max="18" width="15.59765625" style="258" customWidth="1"/>
    <col min="19" max="19" width="9.3984375" style="275" customWidth="1"/>
    <col min="20" max="20" width="5.3984375" style="275" customWidth="1"/>
    <col min="21" max="21" width="9.3984375" style="275" customWidth="1"/>
    <col min="22" max="22" width="5.3984375" style="291" customWidth="1"/>
    <col min="23" max="23" width="5.3984375" style="275" customWidth="1"/>
    <col min="24" max="24" width="5.3984375" style="276" customWidth="1"/>
    <col min="25" max="25" width="9.09765625" style="276" customWidth="1"/>
    <col min="26" max="26" width="16.09765625" style="276" customWidth="1"/>
    <col min="27" max="27" width="12.8984375" style="275" customWidth="1"/>
    <col min="28" max="28" width="18.5" style="275" customWidth="1"/>
    <col min="29" max="29" width="16.19921875" style="276" customWidth="1"/>
    <col min="30" max="30" width="12.3984375" style="276" customWidth="1"/>
    <col min="31" max="31" width="14.3984375" style="258" bestFit="1" customWidth="1"/>
    <col min="32" max="32" width="15.8984375" style="276" hidden="1" customWidth="1"/>
    <col min="33" max="33" width="18.09765625" style="334" hidden="1" customWidth="1"/>
    <col min="34" max="34" width="11.69921875" style="215" hidden="1" customWidth="1"/>
    <col min="35" max="35" width="9.3984375" style="276" hidden="1" customWidth="1"/>
    <col min="36" max="37" width="11.3984375" style="289" hidden="1" customWidth="1"/>
    <col min="38" max="38" width="8.69921875" style="289" hidden="1" customWidth="1"/>
    <col min="39" max="39" width="48.5" style="217" hidden="1" customWidth="1"/>
    <col min="40" max="40" width="14.19921875" style="275" customWidth="1"/>
    <col min="41" max="41" width="33.3984375" style="276" customWidth="1"/>
    <col min="42" max="42" width="4" style="436" customWidth="1"/>
    <col min="43" max="43" width="8.69921875" style="431"/>
    <col min="44" max="48" width="8.69921875" style="276"/>
    <col min="49" max="49" width="12.59765625" style="276" bestFit="1" customWidth="1"/>
    <col min="50" max="16384" width="8.69921875" style="276"/>
  </cols>
  <sheetData>
    <row r="1" spans="1:49" ht="27.5" thickBot="1" x14ac:dyDescent="0.35">
      <c r="A1" s="536" t="s">
        <v>2571</v>
      </c>
      <c r="B1" s="211" t="s">
        <v>2579</v>
      </c>
      <c r="C1" s="211" t="s">
        <v>30</v>
      </c>
      <c r="D1" s="271" t="s">
        <v>87</v>
      </c>
      <c r="E1" s="254" t="s">
        <v>88</v>
      </c>
      <c r="F1" s="254" t="s">
        <v>89</v>
      </c>
      <c r="G1" s="254" t="s">
        <v>90</v>
      </c>
      <c r="H1" s="254" t="s">
        <v>91</v>
      </c>
      <c r="I1" s="255" t="s">
        <v>92</v>
      </c>
      <c r="J1" s="251" t="s">
        <v>93</v>
      </c>
      <c r="K1" s="611" t="s">
        <v>2955</v>
      </c>
      <c r="L1" s="611" t="s">
        <v>2956</v>
      </c>
      <c r="M1" s="283" t="s">
        <v>94</v>
      </c>
      <c r="N1" s="397" t="s">
        <v>95</v>
      </c>
      <c r="O1" s="397" t="s">
        <v>2427</v>
      </c>
      <c r="P1" s="256" t="s">
        <v>46</v>
      </c>
      <c r="Q1" s="256" t="s">
        <v>47</v>
      </c>
      <c r="R1" s="257" t="s">
        <v>97</v>
      </c>
      <c r="S1" s="275" t="s">
        <v>98</v>
      </c>
      <c r="T1" s="275" t="s">
        <v>99</v>
      </c>
      <c r="U1" s="275" t="s">
        <v>100</v>
      </c>
      <c r="V1" s="275" t="s">
        <v>101</v>
      </c>
      <c r="W1" s="275" t="s">
        <v>102</v>
      </c>
      <c r="X1" s="275" t="s">
        <v>103</v>
      </c>
      <c r="Y1" s="275" t="s">
        <v>104</v>
      </c>
      <c r="Z1" s="276" t="s">
        <v>105</v>
      </c>
      <c r="AA1" s="398" t="s">
        <v>2456</v>
      </c>
      <c r="AB1" s="292" t="s">
        <v>106</v>
      </c>
      <c r="AC1" s="284" t="s">
        <v>107</v>
      </c>
      <c r="AD1" s="398" t="s">
        <v>2871</v>
      </c>
      <c r="AE1" s="213" t="s">
        <v>108</v>
      </c>
      <c r="AF1" s="283" t="s">
        <v>109</v>
      </c>
      <c r="AG1" s="336" t="s">
        <v>110</v>
      </c>
      <c r="AH1" s="213" t="s">
        <v>111</v>
      </c>
      <c r="AI1" s="213" t="s">
        <v>112</v>
      </c>
      <c r="AJ1" s="213" t="s">
        <v>113</v>
      </c>
      <c r="AK1" s="213" t="s">
        <v>114</v>
      </c>
      <c r="AL1" s="212" t="s">
        <v>115</v>
      </c>
      <c r="AM1" s="283" t="s">
        <v>116</v>
      </c>
      <c r="AN1" s="256" t="s">
        <v>117</v>
      </c>
      <c r="AO1" s="253" t="s">
        <v>118</v>
      </c>
      <c r="AP1" s="436" t="s">
        <v>2594</v>
      </c>
      <c r="AQ1" s="507" t="s">
        <v>2582</v>
      </c>
      <c r="AR1" s="508" t="s">
        <v>2597</v>
      </c>
      <c r="AS1" s="510" t="s">
        <v>2588</v>
      </c>
      <c r="AT1" s="512" t="s">
        <v>2585</v>
      </c>
      <c r="AU1" s="514" t="s">
        <v>2586</v>
      </c>
      <c r="AV1" s="516" t="s">
        <v>2587</v>
      </c>
      <c r="AW1" s="270" t="s">
        <v>2963</v>
      </c>
    </row>
    <row r="2" spans="1:49" hidden="1" x14ac:dyDescent="0.3">
      <c r="B2" s="276">
        <v>1</v>
      </c>
      <c r="C2" s="276" t="s">
        <v>77</v>
      </c>
      <c r="D2" s="276" t="s">
        <v>2473</v>
      </c>
      <c r="E2" s="275" t="s">
        <v>120</v>
      </c>
      <c r="F2" s="276" t="s">
        <v>121</v>
      </c>
      <c r="G2" s="276"/>
      <c r="H2" s="275" t="s">
        <v>122</v>
      </c>
      <c r="I2" s="275" t="s">
        <v>123</v>
      </c>
      <c r="J2" s="218" t="s">
        <v>2944</v>
      </c>
      <c r="K2" s="283">
        <v>44575</v>
      </c>
      <c r="L2" s="275"/>
      <c r="M2" s="283">
        <v>44399</v>
      </c>
      <c r="N2" s="283">
        <v>44399</v>
      </c>
      <c r="O2" s="283">
        <f>IFERROR(IF(VLOOKUP(功能_33[[#This Row],[功能代號]],討論項目!A:H,8,FALSE)=0,"",VLOOKUP(功能_33[[#This Row],[功能代號]],討論項目!A:H,8,FALSE)),"")</f>
        <v>44399</v>
      </c>
      <c r="P2" s="275" t="s">
        <v>10</v>
      </c>
      <c r="Q2" s="275" t="s">
        <v>13</v>
      </c>
      <c r="V2" s="275"/>
      <c r="X2" s="275"/>
      <c r="Y2" s="275"/>
      <c r="Z2" s="276" t="str">
        <f>VLOOKUP(功能_33[[#This Row],[User]],SKL放款!A:G,7,FALSE)</f>
        <v>放款推展課</v>
      </c>
      <c r="AA2" s="283">
        <v>44470</v>
      </c>
      <c r="AB2" s="283">
        <v>44463</v>
      </c>
      <c r="AC2" s="283">
        <v>44461</v>
      </c>
      <c r="AD2" s="283">
        <v>44461</v>
      </c>
      <c r="AE2" s="610" t="s">
        <v>2970</v>
      </c>
      <c r="AF2" s="243" t="s">
        <v>8</v>
      </c>
      <c r="AG2" s="334">
        <v>44483.717361111107</v>
      </c>
      <c r="AH2" s="215">
        <v>44487.745833333327</v>
      </c>
      <c r="AI2" s="283">
        <f>IFERROR(IF(VLOOKUP(功能_33[[#This Row],[功能代號]],E:S,11,FALSE)=0,"",VLOOKUP(功能_33[[#This Row],[功能代號]],E:S,11,FALSE)),"")</f>
        <v>44399</v>
      </c>
      <c r="AJ2" s="283"/>
      <c r="AK2" s="283"/>
      <c r="AL2" s="276"/>
      <c r="AM2" s="283">
        <v>44403</v>
      </c>
      <c r="AN2" s="275">
        <v>1</v>
      </c>
      <c r="AO2" s="276" t="s">
        <v>125</v>
      </c>
      <c r="AQ2" s="507" t="str">
        <f t="shared" ref="AQ2:AQ63" si="0">IF(COUNTA(AE2)=1,LEFT(D2,3),"")</f>
        <v>1-1</v>
      </c>
      <c r="AR2" s="509" t="str">
        <f t="shared" ref="AR2:AR63" si="1">IF(AND(COUNTA(N2)=1,COUNTA(O2)=1,COUNTA(AA2)=1,COUNTA(AD2)=1,COUNTA(AE2)=0),LEFT(D2,3),"")</f>
        <v/>
      </c>
      <c r="AS2" s="511" t="str">
        <f t="shared" ref="AS2:AS63" si="2">IF(AND(COUNTA(N2)=1,COUNTA(O2)=1,COUNTA(AA2)=1,COUNTA(AD2)=0,COUNTA(AE2)=0),LEFT(D2,3),"")</f>
        <v/>
      </c>
      <c r="AT2" s="513" t="str">
        <f t="shared" ref="AT2:AT63" si="3">IF(AND(COUNTA(O2)=0,COUNTA(AA2)=1),LEFT(D2,3),"")</f>
        <v/>
      </c>
      <c r="AU2" s="515" t="str">
        <f t="shared" ref="AU2:AU63" si="4">IF(AND(COUNTA(O2)=1,COUNTA(AA2)=0),LEFT(D2,3),"")</f>
        <v/>
      </c>
      <c r="AV2" s="517" t="str">
        <f t="shared" ref="AV2:AV63" si="5">IF(AND(COUNTA(O2)=0,COUNTA(AA2)=0),LEFT(D2,3),"")</f>
        <v/>
      </c>
      <c r="AW2" s="589" t="str">
        <f>IFERROR(VLOOKUP(功能_33[[#This Row],[功能代號]],SIT_FT!D:D,1,FALSE),"")</f>
        <v>L1001</v>
      </c>
    </row>
    <row r="3" spans="1:49" hidden="1" x14ac:dyDescent="0.3">
      <c r="B3" s="276">
        <v>1</v>
      </c>
      <c r="C3" s="276" t="s">
        <v>77</v>
      </c>
      <c r="D3" s="276" t="s">
        <v>2473</v>
      </c>
      <c r="E3" s="275" t="s">
        <v>126</v>
      </c>
      <c r="F3" s="276" t="s">
        <v>127</v>
      </c>
      <c r="G3" s="276"/>
      <c r="H3" s="275" t="s">
        <v>122</v>
      </c>
      <c r="I3" s="275" t="s">
        <v>123</v>
      </c>
      <c r="J3" s="218" t="s">
        <v>2969</v>
      </c>
      <c r="K3" s="283">
        <v>44582</v>
      </c>
      <c r="L3" s="275"/>
      <c r="M3" s="283">
        <v>44399</v>
      </c>
      <c r="N3" s="283">
        <v>44399</v>
      </c>
      <c r="O3" s="283">
        <f>IFERROR(IF(VLOOKUP(功能_33[[#This Row],[功能代號]],討論項目!A:H,8,FALSE)=0,"",VLOOKUP(功能_33[[#This Row],[功能代號]],討論項目!A:H,8,FALSE)),"")</f>
        <v>44456</v>
      </c>
      <c r="P3" s="275" t="s">
        <v>10</v>
      </c>
      <c r="Q3" s="275" t="s">
        <v>13</v>
      </c>
      <c r="V3" s="275"/>
      <c r="X3" s="275"/>
      <c r="Y3" s="275"/>
      <c r="Z3" s="276" t="str">
        <f>VLOOKUP(功能_33[[#This Row],[User]],SKL放款!A:G,7,FALSE)</f>
        <v>放款推展課</v>
      </c>
      <c r="AA3" s="283">
        <v>44470</v>
      </c>
      <c r="AB3" s="283">
        <v>44463</v>
      </c>
      <c r="AC3" s="283">
        <v>44461</v>
      </c>
      <c r="AD3" s="283">
        <v>44461</v>
      </c>
      <c r="AE3" s="610" t="s">
        <v>2973</v>
      </c>
      <c r="AF3" s="243" t="s">
        <v>12</v>
      </c>
      <c r="AG3" s="334">
        <v>44482.39166666667</v>
      </c>
      <c r="AH3" s="215">
        <v>44487.745833333327</v>
      </c>
      <c r="AI3" s="283">
        <f>IFERROR(IF(VLOOKUP(功能_33[[#This Row],[功能代號]],E:S,11,FALSE)=0,"",VLOOKUP(功能_33[[#This Row],[功能代號]],E:S,11,FALSE)),"")</f>
        <v>44456</v>
      </c>
      <c r="AJ3" s="283"/>
      <c r="AK3" s="283"/>
      <c r="AL3" s="276"/>
      <c r="AM3" s="283">
        <v>44403</v>
      </c>
      <c r="AN3" s="275" t="s">
        <v>128</v>
      </c>
      <c r="AO3" s="276" t="s">
        <v>129</v>
      </c>
      <c r="AQ3" s="507" t="str">
        <f t="shared" si="0"/>
        <v>1-1</v>
      </c>
      <c r="AR3" s="509" t="str">
        <f t="shared" si="1"/>
        <v/>
      </c>
      <c r="AS3" s="511" t="str">
        <f t="shared" si="2"/>
        <v/>
      </c>
      <c r="AT3" s="513" t="str">
        <f t="shared" si="3"/>
        <v/>
      </c>
      <c r="AU3" s="515" t="str">
        <f t="shared" si="4"/>
        <v/>
      </c>
      <c r="AV3" s="517" t="str">
        <f t="shared" si="5"/>
        <v/>
      </c>
      <c r="AW3" s="589" t="str">
        <f>IFERROR(VLOOKUP(功能_33[[#This Row],[功能代號]],SIT_FT!D:D,1,FALSE),"")</f>
        <v>L1101</v>
      </c>
    </row>
    <row r="4" spans="1:49" hidden="1" x14ac:dyDescent="0.3">
      <c r="B4" s="276">
        <v>1</v>
      </c>
      <c r="C4" s="276" t="s">
        <v>77</v>
      </c>
      <c r="D4" s="276" t="s">
        <v>2473</v>
      </c>
      <c r="E4" s="275" t="s">
        <v>130</v>
      </c>
      <c r="F4" s="276" t="s">
        <v>131</v>
      </c>
      <c r="G4" s="276"/>
      <c r="H4" s="275" t="s">
        <v>122</v>
      </c>
      <c r="I4" s="275" t="s">
        <v>123</v>
      </c>
      <c r="J4" s="218" t="s">
        <v>2944</v>
      </c>
      <c r="K4" s="283">
        <v>44582</v>
      </c>
      <c r="L4" s="275"/>
      <c r="M4" s="283">
        <v>44403</v>
      </c>
      <c r="N4" s="283">
        <v>44403</v>
      </c>
      <c r="O4" s="283">
        <f>IFERROR(IF(VLOOKUP(功能_33[[#This Row],[功能代號]],討論項目!A:H,8,FALSE)=0,"",VLOOKUP(功能_33[[#This Row],[功能代號]],討論項目!A:H,8,FALSE)),"")</f>
        <v>44460</v>
      </c>
      <c r="P4" s="275" t="s">
        <v>10</v>
      </c>
      <c r="Q4" s="275" t="s">
        <v>15</v>
      </c>
      <c r="V4" s="275"/>
      <c r="X4" s="275"/>
      <c r="Y4" s="275"/>
      <c r="Z4" s="276" t="str">
        <f>VLOOKUP(功能_33[[#This Row],[User]],SKL放款!A:G,7,FALSE)</f>
        <v>放款推展課</v>
      </c>
      <c r="AA4" s="283">
        <v>44470</v>
      </c>
      <c r="AB4" s="283">
        <v>44463</v>
      </c>
      <c r="AC4" s="283">
        <v>44461</v>
      </c>
      <c r="AD4" s="283">
        <v>44461</v>
      </c>
      <c r="AE4" s="610" t="s">
        <v>2971</v>
      </c>
      <c r="AF4" s="243" t="s">
        <v>7</v>
      </c>
      <c r="AG4" s="334" t="s">
        <v>132</v>
      </c>
      <c r="AH4" s="215">
        <v>44487.745833333327</v>
      </c>
      <c r="AI4" s="283">
        <f>IFERROR(IF(VLOOKUP(功能_33[[#This Row],[功能代號]],E:S,11,FALSE)=0,"",VLOOKUP(功能_33[[#This Row],[功能代號]],E:S,11,FALSE)),"")</f>
        <v>44460</v>
      </c>
      <c r="AJ4" s="283"/>
      <c r="AK4" s="283"/>
      <c r="AL4" s="276"/>
      <c r="AM4" s="276"/>
      <c r="AN4" s="275" t="s">
        <v>128</v>
      </c>
      <c r="AO4" s="276" t="s">
        <v>129</v>
      </c>
      <c r="AQ4" s="507" t="str">
        <f t="shared" si="0"/>
        <v>1-1</v>
      </c>
      <c r="AR4" s="509" t="str">
        <f t="shared" si="1"/>
        <v/>
      </c>
      <c r="AS4" s="511" t="str">
        <f t="shared" si="2"/>
        <v/>
      </c>
      <c r="AT4" s="513" t="str">
        <f t="shared" si="3"/>
        <v/>
      </c>
      <c r="AU4" s="515" t="str">
        <f t="shared" si="4"/>
        <v/>
      </c>
      <c r="AV4" s="517" t="str">
        <f t="shared" si="5"/>
        <v/>
      </c>
      <c r="AW4" s="589" t="str">
        <f>IFERROR(VLOOKUP(功能_33[[#This Row],[功能代號]],SIT_FT!D:D,1,FALSE),"")</f>
        <v>L1102</v>
      </c>
    </row>
    <row r="5" spans="1:49" hidden="1" x14ac:dyDescent="0.3">
      <c r="B5" s="276">
        <v>1</v>
      </c>
      <c r="C5" s="276" t="s">
        <v>77</v>
      </c>
      <c r="D5" s="276" t="s">
        <v>2473</v>
      </c>
      <c r="E5" s="275" t="s">
        <v>133</v>
      </c>
      <c r="F5" s="276" t="s">
        <v>134</v>
      </c>
      <c r="G5" s="276"/>
      <c r="H5" s="275" t="s">
        <v>122</v>
      </c>
      <c r="I5" s="275" t="s">
        <v>123</v>
      </c>
      <c r="J5" s="218" t="s">
        <v>2969</v>
      </c>
      <c r="K5" s="283">
        <v>44582</v>
      </c>
      <c r="L5" s="275"/>
      <c r="M5" s="283">
        <v>44399</v>
      </c>
      <c r="N5" s="283">
        <v>44399</v>
      </c>
      <c r="O5" s="283">
        <f>IFERROR(IF(VLOOKUP(功能_33[[#This Row],[功能代號]],討論項目!A:H,8,FALSE)=0,"",VLOOKUP(功能_33[[#This Row],[功能代號]],討論項目!A:H,8,FALSE)),"")</f>
        <v>44469</v>
      </c>
      <c r="P5" s="275" t="s">
        <v>10</v>
      </c>
      <c r="Q5" s="275" t="s">
        <v>13</v>
      </c>
      <c r="V5" s="275"/>
      <c r="X5" s="275"/>
      <c r="Y5" s="275"/>
      <c r="Z5" s="276" t="str">
        <f>VLOOKUP(功能_33[[#This Row],[User]],SKL放款!A:G,7,FALSE)</f>
        <v>放款推展課</v>
      </c>
      <c r="AA5" s="283">
        <v>44470</v>
      </c>
      <c r="AB5" s="283">
        <v>44463</v>
      </c>
      <c r="AC5" s="283">
        <v>44461</v>
      </c>
      <c r="AD5" s="283">
        <v>44461</v>
      </c>
      <c r="AE5" s="610" t="s">
        <v>2974</v>
      </c>
      <c r="AF5" s="243" t="s">
        <v>12</v>
      </c>
      <c r="AG5" s="334">
        <v>44482.39166666667</v>
      </c>
      <c r="AH5" s="215">
        <v>44487.745833333327</v>
      </c>
      <c r="AI5" s="283">
        <f>IFERROR(IF(VLOOKUP(功能_33[[#This Row],[功能代號]],E:S,11,FALSE)=0,"",VLOOKUP(功能_33[[#This Row],[功能代號]],E:S,11,FALSE)),"")</f>
        <v>44469</v>
      </c>
      <c r="AJ5" s="283"/>
      <c r="AK5" s="283"/>
      <c r="AL5" s="276"/>
      <c r="AM5" s="276"/>
      <c r="AN5" s="275" t="s">
        <v>135</v>
      </c>
      <c r="AO5" s="276" t="s">
        <v>136</v>
      </c>
      <c r="AQ5" s="507" t="str">
        <f t="shared" si="0"/>
        <v>1-1</v>
      </c>
      <c r="AR5" s="509" t="str">
        <f t="shared" si="1"/>
        <v/>
      </c>
      <c r="AS5" s="511" t="str">
        <f t="shared" si="2"/>
        <v/>
      </c>
      <c r="AT5" s="513" t="str">
        <f t="shared" si="3"/>
        <v/>
      </c>
      <c r="AU5" s="515" t="str">
        <f t="shared" si="4"/>
        <v/>
      </c>
      <c r="AV5" s="517" t="str">
        <f t="shared" si="5"/>
        <v/>
      </c>
      <c r="AW5" s="589" t="str">
        <f>IFERROR(VLOOKUP(功能_33[[#This Row],[功能代號]],SIT_FT!D:D,1,FALSE),"")</f>
        <v>L1103</v>
      </c>
    </row>
    <row r="6" spans="1:49" hidden="1" x14ac:dyDescent="0.3">
      <c r="B6" s="276">
        <v>1</v>
      </c>
      <c r="C6" s="276" t="s">
        <v>77</v>
      </c>
      <c r="D6" s="276" t="s">
        <v>2473</v>
      </c>
      <c r="E6" s="275" t="s">
        <v>137</v>
      </c>
      <c r="F6" s="276" t="s">
        <v>138</v>
      </c>
      <c r="G6" s="276"/>
      <c r="H6" s="275" t="s">
        <v>122</v>
      </c>
      <c r="I6" s="275" t="s">
        <v>123</v>
      </c>
      <c r="J6" s="218" t="s">
        <v>2944</v>
      </c>
      <c r="K6" s="283">
        <v>44582</v>
      </c>
      <c r="L6" s="275"/>
      <c r="M6" s="283">
        <v>44403</v>
      </c>
      <c r="N6" s="283">
        <v>44403</v>
      </c>
      <c r="O6" s="283">
        <f>IFERROR(IF(VLOOKUP(功能_33[[#This Row],[功能代號]],討論項目!A:H,8,FALSE)=0,"",VLOOKUP(功能_33[[#This Row],[功能代號]],討論項目!A:H,8,FALSE)),"")</f>
        <v>44456</v>
      </c>
      <c r="P6" s="275" t="s">
        <v>10</v>
      </c>
      <c r="Q6" s="275" t="s">
        <v>15</v>
      </c>
      <c r="V6" s="275"/>
      <c r="X6" s="275"/>
      <c r="Y6" s="275"/>
      <c r="Z6" s="276" t="str">
        <f>VLOOKUP(功能_33[[#This Row],[User]],SKL放款!A:G,7,FALSE)</f>
        <v>放款推展課</v>
      </c>
      <c r="AA6" s="283">
        <v>44470</v>
      </c>
      <c r="AB6" s="283">
        <v>44463</v>
      </c>
      <c r="AC6" s="283">
        <v>44461</v>
      </c>
      <c r="AD6" s="283">
        <v>44461</v>
      </c>
      <c r="AE6" s="609" t="s">
        <v>2972</v>
      </c>
      <c r="AF6" s="243" t="s">
        <v>12</v>
      </c>
      <c r="AG6" s="334">
        <v>44482.39166666667</v>
      </c>
      <c r="AH6" s="215">
        <v>44487.745833333327</v>
      </c>
      <c r="AI6" s="283">
        <f>IFERROR(IF(VLOOKUP(功能_33[[#This Row],[功能代號]],E:S,11,FALSE)=0,"",VLOOKUP(功能_33[[#This Row],[功能代號]],E:S,11,FALSE)),"")</f>
        <v>44456</v>
      </c>
      <c r="AJ6" s="283"/>
      <c r="AK6" s="283"/>
      <c r="AL6" s="276"/>
      <c r="AM6" s="276"/>
      <c r="AN6" s="275" t="s">
        <v>135</v>
      </c>
      <c r="AO6" s="276" t="s">
        <v>136</v>
      </c>
      <c r="AQ6" s="507" t="str">
        <f t="shared" si="0"/>
        <v>1-1</v>
      </c>
      <c r="AR6" s="509" t="str">
        <f t="shared" si="1"/>
        <v/>
      </c>
      <c r="AS6" s="511" t="str">
        <f t="shared" si="2"/>
        <v/>
      </c>
      <c r="AT6" s="513" t="str">
        <f t="shared" si="3"/>
        <v/>
      </c>
      <c r="AU6" s="515" t="str">
        <f t="shared" si="4"/>
        <v/>
      </c>
      <c r="AV6" s="517" t="str">
        <f t="shared" si="5"/>
        <v/>
      </c>
      <c r="AW6" s="589" t="str">
        <f>IFERROR(VLOOKUP(功能_33[[#This Row],[功能代號]],SIT_FT!D:D,1,FALSE),"")</f>
        <v>L1104</v>
      </c>
    </row>
    <row r="7" spans="1:49" hidden="1" x14ac:dyDescent="0.3">
      <c r="B7" s="276">
        <v>1</v>
      </c>
      <c r="C7" s="276" t="s">
        <v>77</v>
      </c>
      <c r="D7" s="276" t="s">
        <v>2473</v>
      </c>
      <c r="E7" s="275" t="s">
        <v>139</v>
      </c>
      <c r="F7" s="276" t="s">
        <v>140</v>
      </c>
      <c r="G7" s="276"/>
      <c r="H7" s="275" t="s">
        <v>122</v>
      </c>
      <c r="I7" s="275" t="s">
        <v>123</v>
      </c>
      <c r="J7" s="218" t="s">
        <v>124</v>
      </c>
      <c r="K7" s="283">
        <v>44582</v>
      </c>
      <c r="L7" s="275"/>
      <c r="M7" s="283">
        <v>44461</v>
      </c>
      <c r="N7" s="283">
        <v>44461</v>
      </c>
      <c r="O7" s="283">
        <v>44515</v>
      </c>
      <c r="P7" s="275" t="s">
        <v>10</v>
      </c>
      <c r="Q7" s="275" t="s">
        <v>11</v>
      </c>
      <c r="V7" s="275"/>
      <c r="X7" s="275"/>
      <c r="Y7" s="275"/>
      <c r="Z7" s="276" t="str">
        <f>VLOOKUP(功能_33[[#This Row],[User]],SKL放款!A:G,7,FALSE)</f>
        <v>放款服務課</v>
      </c>
      <c r="AA7" s="283">
        <v>44515</v>
      </c>
      <c r="AB7" s="283">
        <v>44463</v>
      </c>
      <c r="AC7" s="283">
        <v>44461</v>
      </c>
      <c r="AD7" s="283">
        <v>44461</v>
      </c>
      <c r="AE7" s="610">
        <v>44515</v>
      </c>
      <c r="AF7" s="243" t="s">
        <v>10</v>
      </c>
      <c r="AG7" s="334">
        <v>44483.717361111107</v>
      </c>
      <c r="AH7" s="215">
        <v>44487.745833333327</v>
      </c>
      <c r="AI7" s="283">
        <f>IFERROR(IF(VLOOKUP(功能_33[[#This Row],[功能代號]],E:S,11,FALSE)=0,"",VLOOKUP(功能_33[[#This Row],[功能代號]],E:S,11,FALSE)),"")</f>
        <v>44515</v>
      </c>
      <c r="AJ7" s="283"/>
      <c r="AK7" s="283"/>
      <c r="AL7" s="276"/>
      <c r="AM7" s="276"/>
      <c r="AN7" s="275" t="s">
        <v>141</v>
      </c>
      <c r="AO7" s="276" t="s">
        <v>142</v>
      </c>
      <c r="AQ7" s="507" t="str">
        <f t="shared" si="0"/>
        <v>1-1</v>
      </c>
      <c r="AR7" s="509" t="str">
        <f t="shared" si="1"/>
        <v/>
      </c>
      <c r="AS7" s="511" t="str">
        <f t="shared" si="2"/>
        <v/>
      </c>
      <c r="AT7" s="513" t="str">
        <f t="shared" si="3"/>
        <v/>
      </c>
      <c r="AU7" s="515" t="str">
        <f t="shared" si="4"/>
        <v/>
      </c>
      <c r="AV7" s="517" t="str">
        <f t="shared" si="5"/>
        <v/>
      </c>
      <c r="AW7" s="589" t="str">
        <f>IFERROR(VLOOKUP(功能_33[[#This Row],[功能代號]],SIT_FT!D:D,1,FALSE),"")</f>
        <v>L1110</v>
      </c>
    </row>
    <row r="8" spans="1:49" hidden="1" x14ac:dyDescent="0.3">
      <c r="B8" s="276">
        <v>1</v>
      </c>
      <c r="C8" s="276" t="s">
        <v>77</v>
      </c>
      <c r="D8" s="276" t="s">
        <v>2473</v>
      </c>
      <c r="E8" s="275" t="s">
        <v>143</v>
      </c>
      <c r="F8" s="276" t="s">
        <v>144</v>
      </c>
      <c r="G8" s="276"/>
      <c r="H8" s="275" t="s">
        <v>122</v>
      </c>
      <c r="I8" s="275" t="s">
        <v>123</v>
      </c>
      <c r="J8" s="218" t="s">
        <v>124</v>
      </c>
      <c r="K8" s="283">
        <v>44582</v>
      </c>
      <c r="L8" s="275"/>
      <c r="M8" s="283">
        <v>44461</v>
      </c>
      <c r="N8" s="283">
        <v>44461</v>
      </c>
      <c r="O8" s="283">
        <v>44489</v>
      </c>
      <c r="P8" s="275" t="s">
        <v>10</v>
      </c>
      <c r="Q8" s="275" t="s">
        <v>13</v>
      </c>
      <c r="R8" s="258" t="s">
        <v>15</v>
      </c>
      <c r="V8" s="275"/>
      <c r="X8" s="275"/>
      <c r="Y8" s="275"/>
      <c r="Z8" s="276" t="str">
        <f>VLOOKUP(功能_33[[#This Row],[User]],SKL放款!A:G,7,FALSE)</f>
        <v>放款推展課</v>
      </c>
      <c r="AA8" s="283">
        <v>44470</v>
      </c>
      <c r="AB8" s="283">
        <v>44463</v>
      </c>
      <c r="AC8" s="283">
        <v>44461</v>
      </c>
      <c r="AD8" s="283">
        <v>44461</v>
      </c>
      <c r="AE8" s="610" t="s">
        <v>2946</v>
      </c>
      <c r="AF8" s="243" t="s">
        <v>8</v>
      </c>
      <c r="AG8" s="334">
        <v>44483.717361111107</v>
      </c>
      <c r="AH8" s="215">
        <v>44487.745833333327</v>
      </c>
      <c r="AI8" s="283">
        <f>IFERROR(IF(VLOOKUP(功能_33[[#This Row],[功能代號]],E:S,11,FALSE)=0,"",VLOOKUP(功能_33[[#This Row],[功能代號]],E:S,11,FALSE)),"")</f>
        <v>44489</v>
      </c>
      <c r="AJ8" s="283"/>
      <c r="AK8" s="283"/>
      <c r="AL8" s="276"/>
      <c r="AM8" s="276"/>
      <c r="AN8" s="275" t="s">
        <v>145</v>
      </c>
      <c r="AO8" s="276" t="s">
        <v>146</v>
      </c>
      <c r="AQ8" s="507" t="str">
        <f t="shared" si="0"/>
        <v>1-1</v>
      </c>
      <c r="AR8" s="509" t="str">
        <f t="shared" si="1"/>
        <v/>
      </c>
      <c r="AS8" s="511" t="str">
        <f t="shared" si="2"/>
        <v/>
      </c>
      <c r="AT8" s="513" t="str">
        <f t="shared" si="3"/>
        <v/>
      </c>
      <c r="AU8" s="515" t="str">
        <f t="shared" si="4"/>
        <v/>
      </c>
      <c r="AV8" s="517" t="str">
        <f t="shared" si="5"/>
        <v/>
      </c>
      <c r="AW8" s="589" t="str">
        <f>IFERROR(VLOOKUP(功能_33[[#This Row],[功能代號]],SIT_FT!D:D,1,FALSE),"")</f>
        <v>L1111</v>
      </c>
    </row>
    <row r="9" spans="1:49" hidden="1" x14ac:dyDescent="0.3">
      <c r="B9" s="276">
        <v>1</v>
      </c>
      <c r="C9" s="276" t="s">
        <v>77</v>
      </c>
      <c r="D9" s="276" t="s">
        <v>2473</v>
      </c>
      <c r="E9" s="275" t="s">
        <v>147</v>
      </c>
      <c r="F9" s="276" t="s">
        <v>148</v>
      </c>
      <c r="G9" s="276"/>
      <c r="H9" s="275" t="s">
        <v>122</v>
      </c>
      <c r="I9" s="275" t="s">
        <v>123</v>
      </c>
      <c r="J9" s="218" t="s">
        <v>124</v>
      </c>
      <c r="K9" s="283">
        <v>44575</v>
      </c>
      <c r="L9" s="275"/>
      <c r="M9" s="283">
        <v>44399</v>
      </c>
      <c r="N9" s="283">
        <v>44399</v>
      </c>
      <c r="O9" s="283">
        <v>44399</v>
      </c>
      <c r="P9" s="275" t="s">
        <v>10</v>
      </c>
      <c r="Q9" s="275" t="s">
        <v>15</v>
      </c>
      <c r="V9" s="275"/>
      <c r="X9" s="275"/>
      <c r="Y9" s="275"/>
      <c r="Z9" s="276" t="str">
        <f>VLOOKUP(功能_33[[#This Row],[User]],SKL放款!A:G,7,FALSE)</f>
        <v>放款推展課</v>
      </c>
      <c r="AA9" s="283">
        <v>44470</v>
      </c>
      <c r="AB9" s="283">
        <v>44463</v>
      </c>
      <c r="AC9" s="283">
        <v>44468</v>
      </c>
      <c r="AD9" s="283">
        <v>44468</v>
      </c>
      <c r="AE9" s="610" t="s">
        <v>2947</v>
      </c>
      <c r="AF9" s="243" t="s">
        <v>12</v>
      </c>
      <c r="AG9" s="334">
        <v>44482.39166666667</v>
      </c>
      <c r="AH9" s="215">
        <v>44487.745833333327</v>
      </c>
      <c r="AI9" s="283">
        <f>IFERROR(IF(VLOOKUP(功能_33[[#This Row],[功能代號]],E:S,11,FALSE)=0,"",VLOOKUP(功能_33[[#This Row],[功能代號]],E:S,11,FALSE)),"")</f>
        <v>44399</v>
      </c>
      <c r="AJ9" s="283"/>
      <c r="AK9" s="283"/>
      <c r="AL9" s="276"/>
      <c r="AM9" s="337">
        <v>44491</v>
      </c>
      <c r="AO9" s="276" t="s">
        <v>149</v>
      </c>
      <c r="AQ9" s="507" t="str">
        <f t="shared" si="0"/>
        <v>1-1</v>
      </c>
      <c r="AR9" s="509" t="str">
        <f t="shared" si="1"/>
        <v/>
      </c>
      <c r="AS9" s="511" t="str">
        <f t="shared" si="2"/>
        <v/>
      </c>
      <c r="AT9" s="513" t="str">
        <f t="shared" si="3"/>
        <v/>
      </c>
      <c r="AU9" s="515" t="str">
        <f t="shared" si="4"/>
        <v/>
      </c>
      <c r="AV9" s="517" t="str">
        <f t="shared" si="5"/>
        <v/>
      </c>
      <c r="AW9" s="589" t="str">
        <f>IFERROR(VLOOKUP(功能_33[[#This Row],[功能代號]],SIT_FT!D:D,1,FALSE),"")</f>
        <v>L1905</v>
      </c>
    </row>
    <row r="10" spans="1:49" hidden="1" x14ac:dyDescent="0.3">
      <c r="B10" s="276">
        <v>1</v>
      </c>
      <c r="C10" s="276" t="s">
        <v>77</v>
      </c>
      <c r="D10" s="276" t="s">
        <v>2473</v>
      </c>
      <c r="E10" s="275" t="s">
        <v>150</v>
      </c>
      <c r="F10" s="276" t="s">
        <v>151</v>
      </c>
      <c r="G10" s="276"/>
      <c r="H10" s="275" t="s">
        <v>122</v>
      </c>
      <c r="I10" s="275" t="s">
        <v>123</v>
      </c>
      <c r="J10" s="218" t="s">
        <v>124</v>
      </c>
      <c r="K10" s="283">
        <v>44582</v>
      </c>
      <c r="L10" s="275"/>
      <c r="M10" s="283">
        <v>44399</v>
      </c>
      <c r="N10" s="283">
        <v>44399</v>
      </c>
      <c r="O10" s="283">
        <f>IFERROR(IF(VLOOKUP(功能_33[[#This Row],[功能代號]],討論項目!A:H,8,FALSE)=0,"",VLOOKUP(功能_33[[#This Row],[功能代號]],討論項目!A:H,8,FALSE)),"")</f>
        <v>44431</v>
      </c>
      <c r="P10" s="275" t="s">
        <v>10</v>
      </c>
      <c r="Q10" s="275" t="s">
        <v>15</v>
      </c>
      <c r="V10" s="275"/>
      <c r="X10" s="275"/>
      <c r="Y10" s="275"/>
      <c r="Z10" s="276" t="str">
        <f>VLOOKUP(功能_33[[#This Row],[User]],SKL放款!A:G,7,FALSE)</f>
        <v>放款推展課</v>
      </c>
      <c r="AA10" s="283">
        <v>44470</v>
      </c>
      <c r="AB10" s="283">
        <v>44463</v>
      </c>
      <c r="AC10" s="283">
        <v>44468</v>
      </c>
      <c r="AD10" s="283">
        <v>44468</v>
      </c>
      <c r="AE10" s="610" t="s">
        <v>2946</v>
      </c>
      <c r="AF10" s="243" t="s">
        <v>12</v>
      </c>
      <c r="AG10" s="334">
        <v>44482.39166666667</v>
      </c>
      <c r="AH10" s="215">
        <v>44487.745833333327</v>
      </c>
      <c r="AI10" s="283">
        <f>IFERROR(IF(VLOOKUP(功能_33[[#This Row],[功能代號]],E:S,11,FALSE)=0,"",VLOOKUP(功能_33[[#This Row],[功能代號]],E:S,11,FALSE)),"")</f>
        <v>44431</v>
      </c>
      <c r="AJ10" s="283"/>
      <c r="AK10" s="283"/>
      <c r="AL10" s="276"/>
      <c r="AM10" s="276"/>
      <c r="AO10" s="276" t="s">
        <v>149</v>
      </c>
      <c r="AQ10" s="507" t="str">
        <f t="shared" si="0"/>
        <v>1-1</v>
      </c>
      <c r="AR10" s="509" t="str">
        <f t="shared" si="1"/>
        <v/>
      </c>
      <c r="AS10" s="511" t="str">
        <f t="shared" si="2"/>
        <v/>
      </c>
      <c r="AT10" s="513" t="str">
        <f t="shared" si="3"/>
        <v/>
      </c>
      <c r="AU10" s="515" t="str">
        <f t="shared" si="4"/>
        <v/>
      </c>
      <c r="AV10" s="517" t="str">
        <f t="shared" si="5"/>
        <v/>
      </c>
      <c r="AW10" s="589" t="str">
        <f>IFERROR(VLOOKUP(功能_33[[#This Row],[功能代號]],SIT_FT!D:D,1,FALSE),"")</f>
        <v>L1105</v>
      </c>
    </row>
    <row r="11" spans="1:49" hidden="1" x14ac:dyDescent="0.3">
      <c r="B11" s="276">
        <v>1</v>
      </c>
      <c r="C11" s="276" t="s">
        <v>77</v>
      </c>
      <c r="D11" s="276" t="s">
        <v>2474</v>
      </c>
      <c r="E11" s="275" t="s">
        <v>156</v>
      </c>
      <c r="F11" s="276" t="s">
        <v>157</v>
      </c>
      <c r="G11" s="276"/>
      <c r="H11" s="275" t="s">
        <v>122</v>
      </c>
      <c r="I11" s="275" t="s">
        <v>123</v>
      </c>
      <c r="J11" s="218" t="s">
        <v>124</v>
      </c>
      <c r="K11" s="283">
        <v>44575</v>
      </c>
      <c r="L11" s="275"/>
      <c r="M11" s="283">
        <v>44399</v>
      </c>
      <c r="N11" s="283">
        <v>44400</v>
      </c>
      <c r="O11" s="283">
        <f>IFERROR(IF(VLOOKUP(功能_33[[#This Row],[功能代號]],討論項目!A:H,8,FALSE)=0,"",VLOOKUP(功能_33[[#This Row],[功能代號]],討論項目!A:H,8,FALSE)),"")</f>
        <v>44431</v>
      </c>
      <c r="P11" s="275" t="s">
        <v>12</v>
      </c>
      <c r="Q11" s="275" t="s">
        <v>158</v>
      </c>
      <c r="V11" s="275"/>
      <c r="X11" s="275"/>
      <c r="Y11" s="275"/>
      <c r="Z11" s="276" t="str">
        <f>VLOOKUP(功能_33[[#This Row],[User]],SKL放款!A:G,7,FALSE)</f>
        <v>放款服務課</v>
      </c>
      <c r="AA11" s="283">
        <v>44470</v>
      </c>
      <c r="AB11" s="283">
        <v>44463</v>
      </c>
      <c r="AC11" s="283">
        <v>44468</v>
      </c>
      <c r="AD11" s="283">
        <v>44468</v>
      </c>
      <c r="AE11" s="610" t="s">
        <v>2946</v>
      </c>
      <c r="AF11" s="243" t="s">
        <v>8</v>
      </c>
      <c r="AG11" s="334">
        <v>44483.717361111107</v>
      </c>
      <c r="AH11" s="215">
        <v>44487.745833333327</v>
      </c>
      <c r="AI11" s="283">
        <f>IFERROR(IF(VLOOKUP(功能_33[[#This Row],[功能代號]],E:S,11,FALSE)=0,"",VLOOKUP(功能_33[[#This Row],[功能代號]],E:S,11,FALSE)),"")</f>
        <v>44431</v>
      </c>
      <c r="AJ11" s="283"/>
      <c r="AK11" s="283"/>
      <c r="AL11" s="276"/>
      <c r="AM11" s="276"/>
      <c r="AN11" s="275" t="s">
        <v>159</v>
      </c>
      <c r="AO11" s="276" t="s">
        <v>160</v>
      </c>
      <c r="AQ11" s="507" t="str">
        <f t="shared" si="0"/>
        <v>1-3</v>
      </c>
      <c r="AR11" s="509" t="str">
        <f t="shared" si="1"/>
        <v/>
      </c>
      <c r="AS11" s="511" t="str">
        <f t="shared" si="2"/>
        <v/>
      </c>
      <c r="AT11" s="513" t="str">
        <f t="shared" si="3"/>
        <v/>
      </c>
      <c r="AU11" s="515" t="str">
        <f t="shared" si="4"/>
        <v/>
      </c>
      <c r="AV11" s="517" t="str">
        <f t="shared" si="5"/>
        <v/>
      </c>
      <c r="AW11" s="589" t="str">
        <f>IFERROR(VLOOKUP(功能_33[[#This Row],[功能代號]],SIT_FT!D:D,1,FALSE),"")</f>
        <v>L1908</v>
      </c>
    </row>
    <row r="12" spans="1:49" hidden="1" x14ac:dyDescent="0.3">
      <c r="B12" s="276">
        <v>1</v>
      </c>
      <c r="C12" s="276" t="s">
        <v>77</v>
      </c>
      <c r="D12" s="276" t="s">
        <v>2474</v>
      </c>
      <c r="E12" s="275" t="s">
        <v>161</v>
      </c>
      <c r="F12" s="276" t="s">
        <v>162</v>
      </c>
      <c r="G12" s="276"/>
      <c r="H12" s="275" t="s">
        <v>122</v>
      </c>
      <c r="I12" s="275" t="s">
        <v>123</v>
      </c>
      <c r="J12" s="218" t="s">
        <v>124</v>
      </c>
      <c r="K12" s="283">
        <v>44582</v>
      </c>
      <c r="L12" s="275"/>
      <c r="M12" s="283">
        <v>44399</v>
      </c>
      <c r="N12" s="283">
        <v>44400</v>
      </c>
      <c r="O12" s="283">
        <f>IFERROR(IF(VLOOKUP(功能_33[[#This Row],[功能代號]],討論項目!A:H,8,FALSE)=0,"",VLOOKUP(功能_33[[#This Row],[功能代號]],討論項目!A:H,8,FALSE)),"")</f>
        <v>44424</v>
      </c>
      <c r="P12" s="275" t="s">
        <v>12</v>
      </c>
      <c r="Q12" s="275" t="s">
        <v>158</v>
      </c>
      <c r="V12" s="275"/>
      <c r="X12" s="275"/>
      <c r="Y12" s="275"/>
      <c r="Z12" s="276" t="str">
        <f>VLOOKUP(功能_33[[#This Row],[User]],SKL放款!A:G,7,FALSE)</f>
        <v>放款服務課</v>
      </c>
      <c r="AA12" s="283">
        <v>44470</v>
      </c>
      <c r="AB12" s="283">
        <v>44463</v>
      </c>
      <c r="AC12" s="283">
        <v>44468</v>
      </c>
      <c r="AD12" s="283">
        <v>44468</v>
      </c>
      <c r="AE12" s="610" t="s">
        <v>2946</v>
      </c>
      <c r="AF12" s="243" t="s">
        <v>8</v>
      </c>
      <c r="AG12" s="334">
        <v>44483.717361111107</v>
      </c>
      <c r="AH12" s="215">
        <v>44487.745833333327</v>
      </c>
      <c r="AI12" s="283">
        <f>IFERROR(IF(VLOOKUP(功能_33[[#This Row],[功能代號]],E:S,11,FALSE)=0,"",VLOOKUP(功能_33[[#This Row],[功能代號]],E:S,11,FALSE)),"")</f>
        <v>44424</v>
      </c>
      <c r="AJ12" s="283"/>
      <c r="AK12" s="283"/>
      <c r="AL12" s="276"/>
      <c r="AM12" s="276"/>
      <c r="AN12" s="275" t="s">
        <v>159</v>
      </c>
      <c r="AO12" s="276" t="s">
        <v>160</v>
      </c>
      <c r="AQ12" s="507" t="str">
        <f t="shared" si="0"/>
        <v>1-3</v>
      </c>
      <c r="AR12" s="509" t="str">
        <f t="shared" si="1"/>
        <v/>
      </c>
      <c r="AS12" s="511" t="str">
        <f t="shared" si="2"/>
        <v/>
      </c>
      <c r="AT12" s="513" t="str">
        <f t="shared" si="3"/>
        <v/>
      </c>
      <c r="AU12" s="515" t="str">
        <f t="shared" si="4"/>
        <v/>
      </c>
      <c r="AV12" s="517" t="str">
        <f t="shared" si="5"/>
        <v/>
      </c>
      <c r="AW12" s="589" t="str">
        <f>IFERROR(VLOOKUP(功能_33[[#This Row],[功能代號]],SIT_FT!D:D,1,FALSE),"")</f>
        <v>L1108</v>
      </c>
    </row>
    <row r="13" spans="1:49" hidden="1" x14ac:dyDescent="0.3">
      <c r="B13" s="276">
        <v>1</v>
      </c>
      <c r="C13" s="276" t="s">
        <v>77</v>
      </c>
      <c r="D13" s="276" t="s">
        <v>2473</v>
      </c>
      <c r="E13" s="275" t="s">
        <v>163</v>
      </c>
      <c r="F13" s="276" t="s">
        <v>164</v>
      </c>
      <c r="G13" s="276"/>
      <c r="H13" s="275" t="s">
        <v>122</v>
      </c>
      <c r="I13" s="275" t="s">
        <v>123</v>
      </c>
      <c r="J13" s="218" t="s">
        <v>124</v>
      </c>
      <c r="K13" s="283">
        <v>44582</v>
      </c>
      <c r="L13" s="275"/>
      <c r="M13" s="283">
        <v>44399</v>
      </c>
      <c r="N13" s="283">
        <v>44400</v>
      </c>
      <c r="O13" s="283">
        <v>44469</v>
      </c>
      <c r="P13" s="275" t="s">
        <v>10</v>
      </c>
      <c r="Q13" s="275" t="s">
        <v>13</v>
      </c>
      <c r="V13" s="275"/>
      <c r="X13" s="275"/>
      <c r="Y13" s="275"/>
      <c r="Z13" s="276" t="str">
        <f>VLOOKUP(功能_33[[#This Row],[User]],SKL放款!A:G,7,FALSE)</f>
        <v>放款推展課</v>
      </c>
      <c r="AA13" s="283">
        <v>44470</v>
      </c>
      <c r="AB13" s="283">
        <v>44463</v>
      </c>
      <c r="AC13" s="283">
        <v>44468</v>
      </c>
      <c r="AD13" s="283">
        <v>44468</v>
      </c>
      <c r="AE13" s="537">
        <v>44470</v>
      </c>
      <c r="AF13" s="243" t="s">
        <v>10</v>
      </c>
      <c r="AG13" s="334">
        <v>44483.565972222219</v>
      </c>
      <c r="AH13" s="215">
        <v>44487.745833333327</v>
      </c>
      <c r="AI13" s="283">
        <f>IFERROR(IF(VLOOKUP(功能_33[[#This Row],[功能代號]],E:S,11,FALSE)=0,"",VLOOKUP(功能_33[[#This Row],[功能代號]],E:S,11,FALSE)),"")</f>
        <v>44469</v>
      </c>
      <c r="AJ13" s="283"/>
      <c r="AK13" s="283"/>
      <c r="AL13" s="276"/>
      <c r="AM13" s="283"/>
      <c r="AO13" s="276" t="s">
        <v>149</v>
      </c>
      <c r="AQ13" s="507" t="str">
        <f t="shared" si="0"/>
        <v>1-1</v>
      </c>
      <c r="AR13" s="509" t="str">
        <f t="shared" si="1"/>
        <v/>
      </c>
      <c r="AS13" s="511" t="str">
        <f t="shared" si="2"/>
        <v/>
      </c>
      <c r="AT13" s="513" t="str">
        <f t="shared" si="3"/>
        <v/>
      </c>
      <c r="AU13" s="515" t="str">
        <f t="shared" si="4"/>
        <v/>
      </c>
      <c r="AV13" s="517" t="str">
        <f t="shared" si="5"/>
        <v/>
      </c>
      <c r="AW13" s="589" t="str">
        <f>IFERROR(VLOOKUP(功能_33[[#This Row],[功能代號]],SIT_FT!D:D,1,FALSE),"")</f>
        <v>L1109</v>
      </c>
    </row>
    <row r="14" spans="1:49" hidden="1" x14ac:dyDescent="0.3">
      <c r="B14" s="276">
        <v>1</v>
      </c>
      <c r="C14" s="276" t="s">
        <v>77</v>
      </c>
      <c r="D14" s="276" t="s">
        <v>2475</v>
      </c>
      <c r="E14" s="275" t="s">
        <v>165</v>
      </c>
      <c r="F14" s="276" t="s">
        <v>166</v>
      </c>
      <c r="G14" s="276"/>
      <c r="H14" s="275" t="s">
        <v>122</v>
      </c>
      <c r="I14" s="275" t="s">
        <v>122</v>
      </c>
      <c r="J14" s="218" t="s">
        <v>124</v>
      </c>
      <c r="K14" s="275" t="s">
        <v>3010</v>
      </c>
      <c r="L14" s="275"/>
      <c r="M14" s="283">
        <v>44403</v>
      </c>
      <c r="N14" s="283">
        <v>44400</v>
      </c>
      <c r="O14" s="283">
        <v>44400</v>
      </c>
      <c r="P14" s="275" t="s">
        <v>10</v>
      </c>
      <c r="Q14" s="275" t="s">
        <v>28</v>
      </c>
      <c r="R14" s="258" t="s">
        <v>21</v>
      </c>
      <c r="V14" s="275"/>
      <c r="X14" s="275"/>
      <c r="Y14" s="275"/>
      <c r="Z14" s="276" t="str">
        <f>VLOOKUP(功能_33[[#This Row],[User]],SKL放款!A:G,7,FALSE)</f>
        <v>放款審查課</v>
      </c>
      <c r="AA14" s="283">
        <v>44470</v>
      </c>
      <c r="AB14" s="283">
        <v>44463</v>
      </c>
      <c r="AC14" s="283">
        <v>44468</v>
      </c>
      <c r="AD14" s="283">
        <v>44468</v>
      </c>
      <c r="AE14" s="537">
        <v>44470</v>
      </c>
      <c r="AF14" s="243" t="s">
        <v>10</v>
      </c>
      <c r="AG14" s="334">
        <v>44483.565972222219</v>
      </c>
      <c r="AH14" s="215">
        <v>44487.745833333327</v>
      </c>
      <c r="AI14" s="283">
        <f>IFERROR(IF(VLOOKUP(功能_33[[#This Row],[功能代號]],E:S,11,FALSE)=0,"",VLOOKUP(功能_33[[#This Row],[功能代號]],E:S,11,FALSE)),"")</f>
        <v>44400</v>
      </c>
      <c r="AJ14" s="283">
        <v>44481</v>
      </c>
      <c r="AK14" s="285" t="s">
        <v>167</v>
      </c>
      <c r="AL14" s="276"/>
      <c r="AM14" s="283"/>
      <c r="AN14" s="275" t="s">
        <v>168</v>
      </c>
      <c r="AO14" s="276" t="s">
        <v>169</v>
      </c>
      <c r="AQ14" s="507" t="str">
        <f t="shared" si="0"/>
        <v>1-2</v>
      </c>
      <c r="AR14" s="509" t="str">
        <f t="shared" si="1"/>
        <v/>
      </c>
      <c r="AS14" s="511" t="str">
        <f t="shared" si="2"/>
        <v/>
      </c>
      <c r="AT14" s="513" t="str">
        <f t="shared" si="3"/>
        <v/>
      </c>
      <c r="AU14" s="515" t="str">
        <f t="shared" si="4"/>
        <v/>
      </c>
      <c r="AV14" s="517" t="str">
        <f t="shared" si="5"/>
        <v/>
      </c>
      <c r="AW14" s="589" t="str">
        <f>IFERROR(VLOOKUP(功能_33[[#This Row],[功能代號]],SIT_FT!D:D,1,FALSE),"")</f>
        <v>L1907</v>
      </c>
    </row>
    <row r="15" spans="1:49" hidden="1" x14ac:dyDescent="0.3">
      <c r="B15" s="276">
        <v>1</v>
      </c>
      <c r="C15" s="276" t="s">
        <v>77</v>
      </c>
      <c r="D15" s="276" t="s">
        <v>2475</v>
      </c>
      <c r="E15" s="275" t="s">
        <v>170</v>
      </c>
      <c r="F15" s="276" t="s">
        <v>171</v>
      </c>
      <c r="G15" s="276"/>
      <c r="H15" s="275" t="s">
        <v>122</v>
      </c>
      <c r="I15" s="275" t="s">
        <v>122</v>
      </c>
      <c r="J15" s="218" t="s">
        <v>124</v>
      </c>
      <c r="K15" s="275" t="s">
        <v>3010</v>
      </c>
      <c r="L15" s="275"/>
      <c r="M15" s="283">
        <v>44403</v>
      </c>
      <c r="N15" s="283">
        <v>44400</v>
      </c>
      <c r="O15" s="283">
        <v>44469</v>
      </c>
      <c r="P15" s="275" t="s">
        <v>10</v>
      </c>
      <c r="Q15" s="275" t="s">
        <v>28</v>
      </c>
      <c r="R15" s="258" t="s">
        <v>21</v>
      </c>
      <c r="V15" s="275"/>
      <c r="X15" s="275"/>
      <c r="Y15" s="275"/>
      <c r="Z15" s="276" t="str">
        <f>VLOOKUP(功能_33[[#This Row],[User]],SKL放款!A:G,7,FALSE)</f>
        <v>放款審查課</v>
      </c>
      <c r="AA15" s="283">
        <v>44470</v>
      </c>
      <c r="AB15" s="283">
        <v>44463</v>
      </c>
      <c r="AC15" s="283">
        <v>44468</v>
      </c>
      <c r="AD15" s="283">
        <v>44468</v>
      </c>
      <c r="AE15" s="610" t="s">
        <v>2946</v>
      </c>
      <c r="AF15" s="243" t="s">
        <v>10</v>
      </c>
      <c r="AG15" s="334">
        <v>44483.565972222219</v>
      </c>
      <c r="AH15" s="215">
        <v>44487.745833333327</v>
      </c>
      <c r="AI15" s="283">
        <f>IFERROR(IF(VLOOKUP(功能_33[[#This Row],[功能代號]],E:S,11,FALSE)=0,"",VLOOKUP(功能_33[[#This Row],[功能代號]],E:S,11,FALSE)),"")</f>
        <v>44469</v>
      </c>
      <c r="AJ15" s="283">
        <v>44481</v>
      </c>
      <c r="AK15" s="285" t="s">
        <v>167</v>
      </c>
      <c r="AL15" s="276"/>
      <c r="AM15" s="283"/>
      <c r="AN15" s="275" t="s">
        <v>168</v>
      </c>
      <c r="AO15" s="276" t="s">
        <v>172</v>
      </c>
      <c r="AQ15" s="507" t="str">
        <f t="shared" si="0"/>
        <v>1-2</v>
      </c>
      <c r="AR15" s="509" t="str">
        <f t="shared" si="1"/>
        <v/>
      </c>
      <c r="AS15" s="511" t="str">
        <f t="shared" si="2"/>
        <v/>
      </c>
      <c r="AT15" s="513" t="str">
        <f t="shared" si="3"/>
        <v/>
      </c>
      <c r="AU15" s="515" t="str">
        <f t="shared" si="4"/>
        <v/>
      </c>
      <c r="AV15" s="517" t="str">
        <f t="shared" si="5"/>
        <v/>
      </c>
      <c r="AW15" s="589" t="str">
        <f>IFERROR(VLOOKUP(功能_33[[#This Row],[功能代號]],SIT_FT!D:D,1,FALSE),"")</f>
        <v>L1107</v>
      </c>
    </row>
    <row r="16" spans="1:49" hidden="1" x14ac:dyDescent="0.3">
      <c r="B16" s="276">
        <v>1</v>
      </c>
      <c r="C16" s="276" t="s">
        <v>77</v>
      </c>
      <c r="D16" s="276" t="s">
        <v>2473</v>
      </c>
      <c r="E16" s="275" t="s">
        <v>173</v>
      </c>
      <c r="F16" s="276" t="s">
        <v>174</v>
      </c>
      <c r="G16" s="247" t="s">
        <v>175</v>
      </c>
      <c r="H16" s="275" t="s">
        <v>122</v>
      </c>
      <c r="I16" s="275" t="s">
        <v>122</v>
      </c>
      <c r="J16" s="218" t="s">
        <v>124</v>
      </c>
      <c r="K16" s="275" t="s">
        <v>3010</v>
      </c>
      <c r="L16" s="275"/>
      <c r="M16" s="283">
        <v>44461</v>
      </c>
      <c r="N16" s="283">
        <v>44461</v>
      </c>
      <c r="O16" s="283">
        <v>44515</v>
      </c>
      <c r="P16" s="275" t="s">
        <v>10</v>
      </c>
      <c r="Q16" s="275" t="s">
        <v>28</v>
      </c>
      <c r="V16" s="275"/>
      <c r="X16" s="275"/>
      <c r="Y16" s="275"/>
      <c r="Z16" s="276" t="str">
        <f>VLOOKUP(功能_33[[#This Row],[User]],SKL放款!A:G,7,FALSE)</f>
        <v>放款審查課</v>
      </c>
      <c r="AA16" s="283">
        <v>44515</v>
      </c>
      <c r="AB16" s="283">
        <v>44463</v>
      </c>
      <c r="AC16" s="283">
        <v>44468</v>
      </c>
      <c r="AD16" s="283">
        <v>44468</v>
      </c>
      <c r="AE16" s="610">
        <v>44515</v>
      </c>
      <c r="AF16" s="243" t="s">
        <v>10</v>
      </c>
      <c r="AG16" s="283"/>
      <c r="AH16" s="283"/>
      <c r="AI16" s="283">
        <f>IFERROR(IF(VLOOKUP(功能_33[[#This Row],[功能代號]],E:S,11,FALSE)=0,"",VLOOKUP(功能_33[[#This Row],[功能代號]],E:S,11,FALSE)),"")</f>
        <v>44515</v>
      </c>
      <c r="AJ16" s="283"/>
      <c r="AK16" s="283"/>
      <c r="AL16" s="276"/>
      <c r="AO16" s="276" t="s">
        <v>176</v>
      </c>
      <c r="AQ16" s="507" t="str">
        <f t="shared" si="0"/>
        <v>1-1</v>
      </c>
      <c r="AR16" s="509" t="str">
        <f t="shared" si="1"/>
        <v/>
      </c>
      <c r="AS16" s="511" t="str">
        <f t="shared" si="2"/>
        <v/>
      </c>
      <c r="AT16" s="513" t="str">
        <f t="shared" si="3"/>
        <v/>
      </c>
      <c r="AU16" s="515" t="str">
        <f t="shared" si="4"/>
        <v/>
      </c>
      <c r="AV16" s="517" t="str">
        <f t="shared" si="5"/>
        <v/>
      </c>
      <c r="AW16" s="589" t="str">
        <f>IFERROR(VLOOKUP(功能_33[[#This Row],[功能代號]],SIT_FT!D:D,1,FALSE),"")</f>
        <v>L1909</v>
      </c>
    </row>
    <row r="17" spans="3:49" ht="13.5" hidden="1" x14ac:dyDescent="0.3">
      <c r="C17" s="276" t="s">
        <v>78</v>
      </c>
      <c r="D17" s="276" t="s">
        <v>2471</v>
      </c>
      <c r="E17" s="275" t="s">
        <v>177</v>
      </c>
      <c r="F17" s="276" t="s">
        <v>178</v>
      </c>
      <c r="G17" s="276"/>
      <c r="H17" s="275" t="s">
        <v>179</v>
      </c>
      <c r="I17" s="275" t="s">
        <v>180</v>
      </c>
      <c r="J17" s="218" t="s">
        <v>2981</v>
      </c>
      <c r="K17" s="283">
        <v>44564</v>
      </c>
      <c r="L17" s="283">
        <v>44564</v>
      </c>
      <c r="M17" s="283">
        <v>44403</v>
      </c>
      <c r="N17" s="283">
        <v>44403</v>
      </c>
      <c r="O17" s="283">
        <v>44533</v>
      </c>
      <c r="P17" s="275" t="s">
        <v>10</v>
      </c>
      <c r="Q17" s="275" t="s">
        <v>11</v>
      </c>
      <c r="V17" s="275"/>
      <c r="X17" s="275"/>
      <c r="Y17" s="275"/>
      <c r="Z17" s="276" t="str">
        <f>VLOOKUP(功能_33[[#This Row],[User]],SKL放款!A:G,7,FALSE)</f>
        <v>放款服務課</v>
      </c>
      <c r="AA17" s="283">
        <v>44533</v>
      </c>
      <c r="AB17" s="283" t="s">
        <v>181</v>
      </c>
      <c r="AC17" s="283">
        <v>44477</v>
      </c>
      <c r="AD17" s="283">
        <v>44477</v>
      </c>
      <c r="AE17" s="283" t="s">
        <v>3001</v>
      </c>
      <c r="AF17" s="283" t="s">
        <v>182</v>
      </c>
      <c r="AG17" s="283"/>
      <c r="AH17" s="334"/>
      <c r="AI17" s="283">
        <f>IFERROR(IF(VLOOKUP(功能_33[[#This Row],[功能代號]],E:S,11,FALSE)=0,"",VLOOKUP(功能_33[[#This Row],[功能代號]],E:S,11,FALSE)),"")</f>
        <v>44533</v>
      </c>
      <c r="AJ17" s="283"/>
      <c r="AK17" s="283"/>
      <c r="AL17" s="276"/>
      <c r="AN17" s="275" t="s">
        <v>183</v>
      </c>
      <c r="AO17" s="276" t="s">
        <v>184</v>
      </c>
      <c r="AQ17" s="507" t="str">
        <f t="shared" si="0"/>
        <v>2-1</v>
      </c>
      <c r="AR17" s="509" t="str">
        <f t="shared" si="1"/>
        <v/>
      </c>
      <c r="AS17" s="511" t="str">
        <f t="shared" si="2"/>
        <v/>
      </c>
      <c r="AT17" s="513" t="str">
        <f t="shared" si="3"/>
        <v/>
      </c>
      <c r="AU17" s="515" t="str">
        <f t="shared" si="4"/>
        <v/>
      </c>
      <c r="AV17" s="517" t="str">
        <f t="shared" si="5"/>
        <v/>
      </c>
      <c r="AW17" s="589" t="str">
        <f>IFERROR(VLOOKUP(功能_33[[#This Row],[功能代號]],SIT_FT!D:D,1,FALSE),"")</f>
        <v>L2001</v>
      </c>
    </row>
    <row r="18" spans="3:49" ht="13.5" hidden="1" x14ac:dyDescent="0.3">
      <c r="C18" s="276" t="s">
        <v>78</v>
      </c>
      <c r="D18" s="276" t="s">
        <v>2471</v>
      </c>
      <c r="E18" s="275" t="s">
        <v>185</v>
      </c>
      <c r="F18" s="276" t="s">
        <v>186</v>
      </c>
      <c r="G18" s="276"/>
      <c r="H18" s="275" t="s">
        <v>179</v>
      </c>
      <c r="I18" s="275" t="s">
        <v>180</v>
      </c>
      <c r="J18" s="218" t="s">
        <v>2603</v>
      </c>
      <c r="K18" s="283">
        <v>44564</v>
      </c>
      <c r="L18" s="283">
        <v>44564</v>
      </c>
      <c r="M18" s="283">
        <v>44403</v>
      </c>
      <c r="N18" s="283">
        <v>44403</v>
      </c>
      <c r="O18" s="283">
        <f>IFERROR(IF(VLOOKUP(功能_33[[#This Row],[功能代號]],討論項目!A:H,8,FALSE)=0,"",VLOOKUP(功能_33[[#This Row],[功能代號]],討論項目!A:H,8,FALSE)),"")</f>
        <v>44432</v>
      </c>
      <c r="P18" s="275" t="s">
        <v>10</v>
      </c>
      <c r="Q18" s="275" t="s">
        <v>11</v>
      </c>
      <c r="V18" s="275"/>
      <c r="X18" s="275"/>
      <c r="Y18" s="275"/>
      <c r="Z18" s="276" t="str">
        <f>VLOOKUP(功能_33[[#This Row],[User]],SKL放款!A:G,7,FALSE)</f>
        <v>放款服務課</v>
      </c>
      <c r="AA18" s="283">
        <v>44533</v>
      </c>
      <c r="AB18" s="283">
        <v>44470</v>
      </c>
      <c r="AC18" s="283">
        <f>IF(功能_33[[#This Row],[URS交二審]]=0,"",功能_33[[#This Row],[URS交二審]]+7)</f>
        <v>44477</v>
      </c>
      <c r="AD18" s="283">
        <f>IF(功能_33[[#This Row],[URS交二審]]=0,"",功能_33[[#This Row],[URS交二審]]+7)</f>
        <v>44477</v>
      </c>
      <c r="AE18" s="283">
        <v>44539</v>
      </c>
      <c r="AF18" s="283" t="s">
        <v>182</v>
      </c>
      <c r="AG18" s="283"/>
      <c r="AH18" s="334"/>
      <c r="AI18" s="283">
        <f>IFERROR(IF(VLOOKUP(功能_33[[#This Row],[功能代號]],E:S,11,FALSE)=0,"",VLOOKUP(功能_33[[#This Row],[功能代號]],E:S,11,FALSE)),"")</f>
        <v>44432</v>
      </c>
      <c r="AJ18" s="283"/>
      <c r="AK18" s="283"/>
      <c r="AL18" s="276"/>
      <c r="AN18" s="275" t="s">
        <v>183</v>
      </c>
      <c r="AO18" s="276" t="s">
        <v>186</v>
      </c>
      <c r="AQ18" s="507" t="str">
        <f t="shared" si="0"/>
        <v>2-1</v>
      </c>
      <c r="AR18" s="509" t="str">
        <f t="shared" si="1"/>
        <v/>
      </c>
      <c r="AS18" s="511" t="str">
        <f t="shared" si="2"/>
        <v/>
      </c>
      <c r="AT18" s="513" t="str">
        <f t="shared" si="3"/>
        <v/>
      </c>
      <c r="AU18" s="515" t="str">
        <f t="shared" si="4"/>
        <v/>
      </c>
      <c r="AV18" s="517" t="str">
        <f t="shared" si="5"/>
        <v/>
      </c>
      <c r="AW18" s="589" t="str">
        <f>IFERROR(VLOOKUP(功能_33[[#This Row],[功能代號]],SIT_FT!D:D,1,FALSE),"")</f>
        <v>L2101</v>
      </c>
    </row>
    <row r="19" spans="3:49" ht="13.5" hidden="1" x14ac:dyDescent="0.3">
      <c r="C19" s="276" t="s">
        <v>78</v>
      </c>
      <c r="D19" s="276" t="s">
        <v>2510</v>
      </c>
      <c r="E19" s="275" t="s">
        <v>187</v>
      </c>
      <c r="F19" s="276" t="s">
        <v>188</v>
      </c>
      <c r="G19" s="276"/>
      <c r="H19" s="275" t="s">
        <v>179</v>
      </c>
      <c r="I19" s="275" t="s">
        <v>189</v>
      </c>
      <c r="J19" s="218" t="s">
        <v>2775</v>
      </c>
      <c r="K19" s="283">
        <v>44566</v>
      </c>
      <c r="L19" s="283">
        <v>44567</v>
      </c>
      <c r="M19" s="283">
        <v>44403</v>
      </c>
      <c r="N19" s="283">
        <v>44403</v>
      </c>
      <c r="O19" s="283">
        <f>IFERROR(IF(VLOOKUP(功能_33[[#This Row],[功能代號]],討論項目!A:H,8,FALSE)=0,"",VLOOKUP(功能_33[[#This Row],[功能代號]],討論項目!A:H,8,FALSE)),"")</f>
        <v>44431</v>
      </c>
      <c r="P19" s="275" t="s">
        <v>10</v>
      </c>
      <c r="Q19" s="275" t="s">
        <v>13</v>
      </c>
      <c r="V19" s="275"/>
      <c r="X19" s="275"/>
      <c r="Y19" s="275"/>
      <c r="Z19" s="276" t="str">
        <f>VLOOKUP(功能_33[[#This Row],[User]],SKL放款!A:G,7,FALSE)</f>
        <v>放款推展課</v>
      </c>
      <c r="AA19" s="283">
        <v>44533</v>
      </c>
      <c r="AB19" s="283">
        <v>44533</v>
      </c>
      <c r="AC19" s="283">
        <v>44533</v>
      </c>
      <c r="AD19" s="283">
        <v>44533</v>
      </c>
      <c r="AE19" s="283">
        <v>44544</v>
      </c>
      <c r="AF19" s="283"/>
      <c r="AG19" s="283"/>
      <c r="AH19" s="334"/>
      <c r="AI19" s="283">
        <f>IFERROR(IF(VLOOKUP(功能_33[[#This Row],[功能代號]],E:S,11,FALSE)=0,"",VLOOKUP(功能_33[[#This Row],[功能代號]],E:S,11,FALSE)),"")</f>
        <v>44431</v>
      </c>
      <c r="AJ19" s="283"/>
      <c r="AK19" s="283"/>
      <c r="AL19" s="276"/>
      <c r="AN19" s="275">
        <v>201</v>
      </c>
      <c r="AO19" s="276" t="s">
        <v>190</v>
      </c>
      <c r="AQ19" s="507" t="str">
        <f t="shared" si="0"/>
        <v>2-2</v>
      </c>
      <c r="AR19" s="509" t="str">
        <f t="shared" si="1"/>
        <v/>
      </c>
      <c r="AS19" s="511" t="str">
        <f t="shared" si="2"/>
        <v/>
      </c>
      <c r="AT19" s="513" t="str">
        <f t="shared" si="3"/>
        <v/>
      </c>
      <c r="AU19" s="515" t="str">
        <f t="shared" si="4"/>
        <v/>
      </c>
      <c r="AV19" s="517" t="str">
        <f t="shared" si="5"/>
        <v/>
      </c>
      <c r="AW19" s="589" t="str">
        <f>IFERROR(VLOOKUP(功能_33[[#This Row],[功能代號]],SIT_FT!D:D,1,FALSE),"")</f>
        <v>L2010</v>
      </c>
    </row>
    <row r="20" spans="3:49" ht="13.5" hidden="1" x14ac:dyDescent="0.3">
      <c r="C20" s="276" t="s">
        <v>78</v>
      </c>
      <c r="D20" s="219" t="s">
        <v>2472</v>
      </c>
      <c r="E20" s="275" t="s">
        <v>191</v>
      </c>
      <c r="F20" s="276" t="s">
        <v>192</v>
      </c>
      <c r="G20" s="276"/>
      <c r="H20" s="275" t="s">
        <v>179</v>
      </c>
      <c r="I20" s="275" t="s">
        <v>180</v>
      </c>
      <c r="J20" s="218" t="s">
        <v>2775</v>
      </c>
      <c r="K20" s="283">
        <v>44567</v>
      </c>
      <c r="L20" s="283">
        <v>44567</v>
      </c>
      <c r="M20" s="283">
        <v>44403</v>
      </c>
      <c r="N20" s="283">
        <v>44403</v>
      </c>
      <c r="O20" s="283">
        <f>IFERROR(IF(VLOOKUP(功能_33[[#This Row],[功能代號]],討論項目!A:H,8,FALSE)=0,"",VLOOKUP(功能_33[[#This Row],[功能代號]],討論項目!A:H,8,FALSE)),"")</f>
        <v>44468</v>
      </c>
      <c r="P20" s="275" t="s">
        <v>10</v>
      </c>
      <c r="Q20" s="275" t="s">
        <v>13</v>
      </c>
      <c r="V20" s="275"/>
      <c r="X20" s="275"/>
      <c r="Y20" s="275"/>
      <c r="Z20" s="276" t="str">
        <f>VLOOKUP(功能_33[[#This Row],[User]],SKL放款!A:G,7,FALSE)</f>
        <v>放款推展課</v>
      </c>
      <c r="AA20" s="283">
        <v>44533</v>
      </c>
      <c r="AB20" s="283">
        <v>44470</v>
      </c>
      <c r="AC20" s="283">
        <f>IF(功能_33[[#This Row],[URS交二審]]=0,"",功能_33[[#This Row],[URS交二審]]+7)</f>
        <v>44477</v>
      </c>
      <c r="AD20" s="283">
        <f>IF(功能_33[[#This Row],[URS交二審]]=0,"",功能_33[[#This Row],[URS交二審]]+7)</f>
        <v>44477</v>
      </c>
      <c r="AE20" s="283">
        <v>44544</v>
      </c>
      <c r="AF20" s="283" t="s">
        <v>182</v>
      </c>
      <c r="AG20" s="283"/>
      <c r="AH20" s="334"/>
      <c r="AI20" s="283">
        <f>IFERROR(IF(VLOOKUP(功能_33[[#This Row],[功能代號]],E:S,11,FALSE)=0,"",VLOOKUP(功能_33[[#This Row],[功能代號]],E:S,11,FALSE)),"")</f>
        <v>44468</v>
      </c>
      <c r="AJ20" s="283"/>
      <c r="AK20" s="283"/>
      <c r="AL20" s="276"/>
      <c r="AN20" s="275">
        <v>201</v>
      </c>
      <c r="AO20" s="276" t="s">
        <v>192</v>
      </c>
      <c r="AQ20" s="507" t="str">
        <f t="shared" si="0"/>
        <v>2-2</v>
      </c>
      <c r="AR20" s="509" t="str">
        <f t="shared" si="1"/>
        <v/>
      </c>
      <c r="AS20" s="511" t="str">
        <f t="shared" si="2"/>
        <v/>
      </c>
      <c r="AT20" s="513" t="str">
        <f t="shared" si="3"/>
        <v/>
      </c>
      <c r="AU20" s="515" t="str">
        <f t="shared" si="4"/>
        <v/>
      </c>
      <c r="AV20" s="517" t="str">
        <f t="shared" si="5"/>
        <v/>
      </c>
      <c r="AW20" s="589" t="str">
        <f>IFERROR(VLOOKUP(功能_33[[#This Row],[功能代號]],SIT_FT!D:D,1,FALSE),"")</f>
        <v>L2111</v>
      </c>
    </row>
    <row r="21" spans="3:49" ht="13.5" hidden="1" x14ac:dyDescent="0.3">
      <c r="C21" s="276" t="s">
        <v>78</v>
      </c>
      <c r="D21" s="219" t="s">
        <v>2472</v>
      </c>
      <c r="E21" s="275" t="s">
        <v>193</v>
      </c>
      <c r="F21" s="276" t="s">
        <v>194</v>
      </c>
      <c r="G21" s="276"/>
      <c r="H21" s="275" t="s">
        <v>179</v>
      </c>
      <c r="I21" s="275" t="s">
        <v>180</v>
      </c>
      <c r="J21" s="218" t="s">
        <v>2775</v>
      </c>
      <c r="K21" s="283">
        <v>44567</v>
      </c>
      <c r="L21" s="283">
        <v>44567</v>
      </c>
      <c r="M21" s="283">
        <v>44404</v>
      </c>
      <c r="N21" s="283">
        <v>44403</v>
      </c>
      <c r="O21" s="283">
        <f>IFERROR(IF(VLOOKUP(功能_33[[#This Row],[功能代號]],討論項目!A:H,8,FALSE)=0,"",VLOOKUP(功能_33[[#This Row],[功能代號]],討論項目!A:H,8,FALSE)),"")</f>
        <v>44468</v>
      </c>
      <c r="P21" s="275" t="s">
        <v>10</v>
      </c>
      <c r="Q21" s="275" t="s">
        <v>13</v>
      </c>
      <c r="V21" s="275"/>
      <c r="X21" s="275"/>
      <c r="Y21" s="275"/>
      <c r="Z21" s="276" t="str">
        <f>VLOOKUP(功能_33[[#This Row],[User]],SKL放款!A:G,7,FALSE)</f>
        <v>放款推展課</v>
      </c>
      <c r="AA21" s="283">
        <v>44533</v>
      </c>
      <c r="AB21" s="283">
        <v>44470</v>
      </c>
      <c r="AC21" s="283">
        <f>IF(功能_33[[#This Row],[URS交二審]]=0,"",功能_33[[#This Row],[URS交二審]]+7)</f>
        <v>44477</v>
      </c>
      <c r="AD21" s="283">
        <f>IF(功能_33[[#This Row],[URS交二審]]=0,"",功能_33[[#This Row],[URS交二審]]+7)</f>
        <v>44477</v>
      </c>
      <c r="AE21" s="283">
        <v>44544</v>
      </c>
      <c r="AF21" s="283" t="s">
        <v>182</v>
      </c>
      <c r="AG21" s="283"/>
      <c r="AH21" s="334"/>
      <c r="AI21" s="283">
        <f>IFERROR(IF(VLOOKUP(功能_33[[#This Row],[功能代號]],E:S,11,FALSE)=0,"",VLOOKUP(功能_33[[#This Row],[功能代號]],E:S,11,FALSE)),"")</f>
        <v>44468</v>
      </c>
      <c r="AJ21" s="283"/>
      <c r="AK21" s="283"/>
      <c r="AL21" s="276"/>
      <c r="AN21" s="275">
        <v>203</v>
      </c>
      <c r="AO21" s="276" t="s">
        <v>194</v>
      </c>
      <c r="AQ21" s="507" t="str">
        <f t="shared" si="0"/>
        <v>2-2</v>
      </c>
      <c r="AR21" s="509" t="str">
        <f t="shared" si="1"/>
        <v/>
      </c>
      <c r="AS21" s="511" t="str">
        <f t="shared" si="2"/>
        <v/>
      </c>
      <c r="AT21" s="513" t="str">
        <f t="shared" si="3"/>
        <v/>
      </c>
      <c r="AU21" s="515" t="str">
        <f t="shared" si="4"/>
        <v/>
      </c>
      <c r="AV21" s="517" t="str">
        <f t="shared" si="5"/>
        <v/>
      </c>
      <c r="AW21" s="589" t="str">
        <f>IFERROR(VLOOKUP(功能_33[[#This Row],[功能代號]],SIT_FT!D:D,1,FALSE),"")</f>
        <v>L2153</v>
      </c>
    </row>
    <row r="22" spans="3:49" ht="13.5" hidden="1" x14ac:dyDescent="0.3">
      <c r="C22" s="276" t="s">
        <v>78</v>
      </c>
      <c r="D22" s="219" t="s">
        <v>2472</v>
      </c>
      <c r="E22" s="275" t="s">
        <v>195</v>
      </c>
      <c r="F22" s="276" t="s">
        <v>196</v>
      </c>
      <c r="G22" s="276"/>
      <c r="H22" s="275" t="s">
        <v>179</v>
      </c>
      <c r="I22" s="275" t="s">
        <v>189</v>
      </c>
      <c r="J22" s="218" t="s">
        <v>2775</v>
      </c>
      <c r="K22" s="283">
        <v>44567</v>
      </c>
      <c r="L22" s="283">
        <v>44567</v>
      </c>
      <c r="M22" s="283">
        <v>44404</v>
      </c>
      <c r="N22" s="283">
        <v>44403</v>
      </c>
      <c r="O22" s="283">
        <v>44536</v>
      </c>
      <c r="P22" s="275" t="s">
        <v>10</v>
      </c>
      <c r="Q22" s="275" t="s">
        <v>13</v>
      </c>
      <c r="V22" s="275"/>
      <c r="X22" s="275"/>
      <c r="Y22" s="275"/>
      <c r="Z22" s="276" t="str">
        <f>VLOOKUP(功能_33[[#This Row],[User]],SKL放款!A:G,7,FALSE)</f>
        <v>放款推展課</v>
      </c>
      <c r="AA22" s="283">
        <v>44533</v>
      </c>
      <c r="AB22" s="283">
        <v>44477</v>
      </c>
      <c r="AC22" s="283">
        <v>44477</v>
      </c>
      <c r="AD22" s="283">
        <v>44477</v>
      </c>
      <c r="AE22" s="283">
        <v>44544</v>
      </c>
      <c r="AF22" s="283" t="s">
        <v>182</v>
      </c>
      <c r="AG22" s="283"/>
      <c r="AH22" s="334"/>
      <c r="AI22" s="283">
        <f>IFERROR(IF(VLOOKUP(功能_33[[#This Row],[功能代號]],E:S,11,FALSE)=0,"",VLOOKUP(功能_33[[#This Row],[功能代號]],E:S,11,FALSE)),"")</f>
        <v>44536</v>
      </c>
      <c r="AJ22" s="283"/>
      <c r="AK22" s="283"/>
      <c r="AL22" s="276"/>
      <c r="AN22" s="275">
        <v>203</v>
      </c>
      <c r="AO22" s="276" t="s">
        <v>197</v>
      </c>
      <c r="AQ22" s="507" t="str">
        <f t="shared" si="0"/>
        <v>2-2</v>
      </c>
      <c r="AR22" s="509" t="str">
        <f t="shared" si="1"/>
        <v/>
      </c>
      <c r="AS22" s="511" t="str">
        <f t="shared" si="2"/>
        <v/>
      </c>
      <c r="AT22" s="513" t="str">
        <f t="shared" si="3"/>
        <v/>
      </c>
      <c r="AU22" s="515" t="str">
        <f t="shared" si="4"/>
        <v/>
      </c>
      <c r="AV22" s="517" t="str">
        <f t="shared" si="5"/>
        <v/>
      </c>
      <c r="AW22" s="589" t="str">
        <f>IFERROR(VLOOKUP(功能_33[[#This Row],[功能代號]],SIT_FT!D:D,1,FALSE),"")</f>
        <v>L2151</v>
      </c>
    </row>
    <row r="23" spans="3:49" ht="13.5" hidden="1" x14ac:dyDescent="0.3">
      <c r="C23" s="276" t="s">
        <v>78</v>
      </c>
      <c r="D23" s="219" t="s">
        <v>2472</v>
      </c>
      <c r="E23" s="275" t="s">
        <v>198</v>
      </c>
      <c r="F23" s="276" t="s">
        <v>199</v>
      </c>
      <c r="G23" s="276"/>
      <c r="H23" s="275" t="s">
        <v>179</v>
      </c>
      <c r="I23" s="275" t="s">
        <v>189</v>
      </c>
      <c r="J23" s="218" t="s">
        <v>2775</v>
      </c>
      <c r="K23" s="283">
        <v>44567</v>
      </c>
      <c r="L23" s="283">
        <v>44567</v>
      </c>
      <c r="M23" s="283">
        <v>44403</v>
      </c>
      <c r="N23" s="283">
        <v>44403</v>
      </c>
      <c r="O23" s="283">
        <f>IFERROR(IF(VLOOKUP(功能_33[[#This Row],[功能代號]],討論項目!A:H,8,FALSE)=0,"",VLOOKUP(功能_33[[#This Row],[功能代號]],討論項目!A:H,8,FALSE)),"")</f>
        <v>44431</v>
      </c>
      <c r="P23" s="275" t="s">
        <v>10</v>
      </c>
      <c r="Q23" s="275" t="s">
        <v>13</v>
      </c>
      <c r="V23" s="275"/>
      <c r="X23" s="275"/>
      <c r="Y23" s="275"/>
      <c r="Z23" s="276" t="str">
        <f>VLOOKUP(功能_33[[#This Row],[User]],SKL放款!A:G,7,FALSE)</f>
        <v>放款推展課</v>
      </c>
      <c r="AA23" s="283">
        <v>44533</v>
      </c>
      <c r="AB23" s="283">
        <v>44533</v>
      </c>
      <c r="AC23" s="283">
        <v>44533</v>
      </c>
      <c r="AD23" s="283">
        <v>44533</v>
      </c>
      <c r="AE23" s="283">
        <v>44544</v>
      </c>
      <c r="AF23" s="283"/>
      <c r="AG23" s="283"/>
      <c r="AH23" s="334"/>
      <c r="AI23" s="283">
        <f>IFERROR(IF(VLOOKUP(功能_33[[#This Row],[功能代號]],E:S,11,FALSE)=0,"",VLOOKUP(功能_33[[#This Row],[功能代號]],E:S,11,FALSE)),"")</f>
        <v>44431</v>
      </c>
      <c r="AJ23" s="283"/>
      <c r="AK23" s="283"/>
      <c r="AL23" s="276"/>
      <c r="AN23" s="275">
        <v>202</v>
      </c>
      <c r="AO23" s="276" t="s">
        <v>200</v>
      </c>
      <c r="AQ23" s="507" t="str">
        <f t="shared" si="0"/>
        <v>2-2</v>
      </c>
      <c r="AR23" s="509" t="str">
        <f t="shared" si="1"/>
        <v/>
      </c>
      <c r="AS23" s="511" t="str">
        <f t="shared" si="2"/>
        <v/>
      </c>
      <c r="AT23" s="513" t="str">
        <f t="shared" si="3"/>
        <v/>
      </c>
      <c r="AU23" s="515" t="str">
        <f t="shared" si="4"/>
        <v/>
      </c>
      <c r="AV23" s="517" t="str">
        <f t="shared" si="5"/>
        <v/>
      </c>
      <c r="AW23" s="589" t="str">
        <f>IFERROR(VLOOKUP(功能_33[[#This Row],[功能代號]],SIT_FT!D:D,1,FALSE),"")</f>
        <v>L2112</v>
      </c>
    </row>
    <row r="24" spans="3:49" ht="13.5" hidden="1" x14ac:dyDescent="0.3">
      <c r="C24" s="276" t="s">
        <v>78</v>
      </c>
      <c r="D24" s="219" t="s">
        <v>2472</v>
      </c>
      <c r="E24" s="275" t="s">
        <v>201</v>
      </c>
      <c r="F24" s="276" t="s">
        <v>202</v>
      </c>
      <c r="G24" s="276"/>
      <c r="H24" s="275" t="s">
        <v>179</v>
      </c>
      <c r="I24" s="275" t="s">
        <v>189</v>
      </c>
      <c r="J24" s="218" t="s">
        <v>2775</v>
      </c>
      <c r="K24" s="283">
        <v>44567</v>
      </c>
      <c r="L24" s="283">
        <v>44567</v>
      </c>
      <c r="M24" s="283">
        <v>44404</v>
      </c>
      <c r="N24" s="283">
        <v>44404</v>
      </c>
      <c r="O24" s="283">
        <f>IFERROR(IF(VLOOKUP(功能_33[[#This Row],[功能代號]],討論項目!A:H,8,FALSE)=0,"",VLOOKUP(功能_33[[#This Row],[功能代號]],討論項目!A:H,8,FALSE)),"")</f>
        <v>44431</v>
      </c>
      <c r="P24" s="275" t="s">
        <v>10</v>
      </c>
      <c r="Q24" s="275" t="s">
        <v>13</v>
      </c>
      <c r="V24" s="275"/>
      <c r="X24" s="275"/>
      <c r="Y24" s="275"/>
      <c r="Z24" s="276" t="str">
        <f>VLOOKUP(功能_33[[#This Row],[User]],SKL放款!A:G,7,FALSE)</f>
        <v>放款推展課</v>
      </c>
      <c r="AA24" s="283">
        <v>44533</v>
      </c>
      <c r="AB24" s="283">
        <v>44533</v>
      </c>
      <c r="AC24" s="283">
        <v>44533</v>
      </c>
      <c r="AD24" s="283">
        <v>44533</v>
      </c>
      <c r="AE24" s="283">
        <v>44544</v>
      </c>
      <c r="AF24" s="283"/>
      <c r="AG24" s="283"/>
      <c r="AH24" s="334"/>
      <c r="AI24" s="283">
        <f>IFERROR(IF(VLOOKUP(功能_33[[#This Row],[功能代號]],E:S,11,FALSE)=0,"",VLOOKUP(功能_33[[#This Row],[功能代號]],E:S,11,FALSE)),"")</f>
        <v>44431</v>
      </c>
      <c r="AJ24" s="283"/>
      <c r="AK24" s="283"/>
      <c r="AL24" s="276"/>
      <c r="AN24" s="275">
        <v>204</v>
      </c>
      <c r="AO24" s="276" t="s">
        <v>203</v>
      </c>
      <c r="AQ24" s="507" t="str">
        <f t="shared" si="0"/>
        <v>2-2</v>
      </c>
      <c r="AR24" s="509" t="str">
        <f t="shared" si="1"/>
        <v/>
      </c>
      <c r="AS24" s="511" t="str">
        <f t="shared" si="2"/>
        <v/>
      </c>
      <c r="AT24" s="513" t="str">
        <f t="shared" si="3"/>
        <v/>
      </c>
      <c r="AU24" s="515" t="str">
        <f t="shared" si="4"/>
        <v/>
      </c>
      <c r="AV24" s="517" t="str">
        <f t="shared" si="5"/>
        <v/>
      </c>
      <c r="AW24" s="589" t="str">
        <f>IFERROR(VLOOKUP(功能_33[[#This Row],[功能代號]],SIT_FT!D:D,1,FALSE),"")</f>
        <v>L2015</v>
      </c>
    </row>
    <row r="25" spans="3:49" ht="13.5" hidden="1" x14ac:dyDescent="0.3">
      <c r="C25" s="276" t="s">
        <v>78</v>
      </c>
      <c r="D25" s="219" t="s">
        <v>2472</v>
      </c>
      <c r="E25" s="275" t="s">
        <v>204</v>
      </c>
      <c r="F25" s="276" t="s">
        <v>205</v>
      </c>
      <c r="G25" s="276"/>
      <c r="H25" s="275" t="s">
        <v>179</v>
      </c>
      <c r="I25" s="275" t="s">
        <v>180</v>
      </c>
      <c r="J25" s="218" t="s">
        <v>2775</v>
      </c>
      <c r="K25" s="283">
        <v>44567</v>
      </c>
      <c r="L25" s="283">
        <v>44567</v>
      </c>
      <c r="M25" s="283">
        <v>44404</v>
      </c>
      <c r="N25" s="283">
        <v>44404</v>
      </c>
      <c r="O25" s="283">
        <f>IFERROR(IF(VLOOKUP(功能_33[[#This Row],[功能代號]],討論項目!A:H,8,FALSE)=0,"",VLOOKUP(功能_33[[#This Row],[功能代號]],討論項目!A:H,8,FALSE)),"")</f>
        <v>44469</v>
      </c>
      <c r="P25" s="275" t="s">
        <v>10</v>
      </c>
      <c r="Q25" s="275" t="s">
        <v>13</v>
      </c>
      <c r="V25" s="275"/>
      <c r="X25" s="275"/>
      <c r="Y25" s="275"/>
      <c r="Z25" s="276" t="str">
        <f>VLOOKUP(功能_33[[#This Row],[User]],SKL放款!A:G,7,FALSE)</f>
        <v>放款推展課</v>
      </c>
      <c r="AA25" s="283">
        <v>44533</v>
      </c>
      <c r="AB25" s="283">
        <v>44470</v>
      </c>
      <c r="AC25" s="283">
        <f>IF(功能_33[[#This Row],[URS交二審]]=0,"",功能_33[[#This Row],[URS交二審]]+7)</f>
        <v>44477</v>
      </c>
      <c r="AD25" s="283">
        <f>IF(功能_33[[#This Row],[URS交二審]]=0,"",功能_33[[#This Row],[URS交二審]]+7)</f>
        <v>44477</v>
      </c>
      <c r="AE25" s="283">
        <v>44544</v>
      </c>
      <c r="AF25" s="283" t="s">
        <v>182</v>
      </c>
      <c r="AG25" s="283"/>
      <c r="AH25" s="334"/>
      <c r="AI25" s="283">
        <f>IFERROR(IF(VLOOKUP(功能_33[[#This Row],[功能代號]],E:S,11,FALSE)=0,"",VLOOKUP(功能_33[[#This Row],[功能代號]],E:S,11,FALSE)),"")</f>
        <v>44469</v>
      </c>
      <c r="AJ25" s="283"/>
      <c r="AK25" s="283"/>
      <c r="AL25" s="276"/>
      <c r="AN25" s="275">
        <v>204</v>
      </c>
      <c r="AO25" s="276" t="s">
        <v>206</v>
      </c>
      <c r="AQ25" s="507" t="str">
        <f t="shared" si="0"/>
        <v>2-2</v>
      </c>
      <c r="AR25" s="509" t="str">
        <f t="shared" si="1"/>
        <v/>
      </c>
      <c r="AS25" s="511" t="str">
        <f t="shared" si="2"/>
        <v/>
      </c>
      <c r="AT25" s="513" t="str">
        <f t="shared" si="3"/>
        <v/>
      </c>
      <c r="AU25" s="515" t="str">
        <f t="shared" si="4"/>
        <v/>
      </c>
      <c r="AV25" s="517" t="str">
        <f t="shared" si="5"/>
        <v/>
      </c>
      <c r="AW25" s="589" t="str">
        <f>IFERROR(VLOOKUP(功能_33[[#This Row],[功能代號]],SIT_FT!D:D,1,FALSE),"")</f>
        <v>L2154</v>
      </c>
    </row>
    <row r="26" spans="3:49" ht="13.5" hidden="1" x14ac:dyDescent="0.3">
      <c r="C26" s="276" t="s">
        <v>78</v>
      </c>
      <c r="D26" s="219" t="s">
        <v>2472</v>
      </c>
      <c r="E26" s="275" t="s">
        <v>207</v>
      </c>
      <c r="F26" s="276" t="s">
        <v>208</v>
      </c>
      <c r="G26" s="276"/>
      <c r="H26" s="275" t="s">
        <v>179</v>
      </c>
      <c r="I26" s="275" t="s">
        <v>180</v>
      </c>
      <c r="J26" s="218" t="s">
        <v>2775</v>
      </c>
      <c r="K26" s="283">
        <v>44567</v>
      </c>
      <c r="L26" s="283">
        <v>44567</v>
      </c>
      <c r="M26" s="283">
        <v>44404</v>
      </c>
      <c r="N26" s="283">
        <v>44404</v>
      </c>
      <c r="O26" s="283">
        <v>44404</v>
      </c>
      <c r="P26" s="275" t="s">
        <v>10</v>
      </c>
      <c r="Q26" s="275" t="s">
        <v>13</v>
      </c>
      <c r="V26" s="275"/>
      <c r="X26" s="275"/>
      <c r="Y26" s="275"/>
      <c r="Z26" s="276" t="str">
        <f>VLOOKUP(功能_33[[#This Row],[User]],SKL放款!A:G,7,FALSE)</f>
        <v>放款推展課</v>
      </c>
      <c r="AA26" s="283">
        <v>44404</v>
      </c>
      <c r="AB26" s="283">
        <v>44533</v>
      </c>
      <c r="AC26" s="283">
        <v>44533</v>
      </c>
      <c r="AD26" s="283">
        <v>44404</v>
      </c>
      <c r="AE26" s="283">
        <v>44544</v>
      </c>
      <c r="AF26" s="283"/>
      <c r="AG26" s="283"/>
      <c r="AH26" s="334"/>
      <c r="AI26" s="283">
        <f>IFERROR(IF(VLOOKUP(功能_33[[#This Row],[功能代號]],E:S,11,FALSE)=0,"",VLOOKUP(功能_33[[#This Row],[功能代號]],E:S,11,FALSE)),"")</f>
        <v>44404</v>
      </c>
      <c r="AJ26" s="283"/>
      <c r="AK26" s="283"/>
      <c r="AL26" s="276"/>
      <c r="AN26" s="275">
        <v>204</v>
      </c>
      <c r="AO26" s="276" t="s">
        <v>209</v>
      </c>
      <c r="AQ26" s="507" t="str">
        <f t="shared" si="0"/>
        <v>2-2</v>
      </c>
      <c r="AR26" s="509" t="str">
        <f t="shared" si="1"/>
        <v/>
      </c>
      <c r="AS26" s="511" t="str">
        <f t="shared" si="2"/>
        <v/>
      </c>
      <c r="AT26" s="513" t="str">
        <f t="shared" si="3"/>
        <v/>
      </c>
      <c r="AU26" s="515" t="str">
        <f t="shared" si="4"/>
        <v/>
      </c>
      <c r="AV26" s="517" t="str">
        <f t="shared" si="5"/>
        <v/>
      </c>
      <c r="AW26" s="589" t="str">
        <f>IFERROR(VLOOKUP(功能_33[[#This Row],[功能代號]],SIT_FT!D:D,1,FALSE),"")</f>
        <v>L2016</v>
      </c>
    </row>
    <row r="27" spans="3:49" ht="13.5" hidden="1" x14ac:dyDescent="0.3">
      <c r="C27" s="276" t="s">
        <v>78</v>
      </c>
      <c r="D27" s="276" t="s">
        <v>2506</v>
      </c>
      <c r="E27" s="275" t="s">
        <v>210</v>
      </c>
      <c r="F27" s="276" t="s">
        <v>211</v>
      </c>
      <c r="G27" s="276"/>
      <c r="H27" s="275" t="s">
        <v>179</v>
      </c>
      <c r="I27" s="275" t="s">
        <v>189</v>
      </c>
      <c r="J27" s="218" t="s">
        <v>2603</v>
      </c>
      <c r="K27" s="283">
        <v>44565</v>
      </c>
      <c r="L27" s="283">
        <v>44565</v>
      </c>
      <c r="M27" s="283">
        <v>44404</v>
      </c>
      <c r="N27" s="283">
        <v>44405</v>
      </c>
      <c r="O27" s="283">
        <f>IFERROR(IF(VLOOKUP(功能_33[[#This Row],[功能代號]],討論項目!A:H,8,FALSE)=0,"",VLOOKUP(功能_33[[#This Row],[功能代號]],討論項目!A:H,8,FALSE)),"")</f>
        <v>44428</v>
      </c>
      <c r="P27" s="275" t="s">
        <v>10</v>
      </c>
      <c r="Q27" s="275" t="s">
        <v>13</v>
      </c>
      <c r="R27" s="258" t="s">
        <v>212</v>
      </c>
      <c r="V27" s="275"/>
      <c r="X27" s="275"/>
      <c r="Y27" s="275"/>
      <c r="Z27" s="276" t="str">
        <f>VLOOKUP(功能_33[[#This Row],[User]],SKL放款!A:G,7,FALSE)</f>
        <v>放款推展課</v>
      </c>
      <c r="AA27" s="283">
        <v>44533</v>
      </c>
      <c r="AB27" s="283">
        <v>44470</v>
      </c>
      <c r="AC27" s="283">
        <f>IF(功能_33[[#This Row],[URS交二審]]=0,"",功能_33[[#This Row],[URS交二審]]+7)</f>
        <v>44477</v>
      </c>
      <c r="AD27" s="283">
        <f>IF(功能_33[[#This Row],[URS交二審]]=0,"",功能_33[[#This Row],[URS交二審]]+7)</f>
        <v>44477</v>
      </c>
      <c r="AE27" s="283">
        <v>44539</v>
      </c>
      <c r="AF27" s="283" t="s">
        <v>182</v>
      </c>
      <c r="AG27" s="283"/>
      <c r="AH27" s="334"/>
      <c r="AI27" s="283">
        <f>IFERROR(IF(VLOOKUP(功能_33[[#This Row],[功能代號]],E:S,11,FALSE)=0,"",VLOOKUP(功能_33[[#This Row],[功能代號]],E:S,11,FALSE)),"")</f>
        <v>44428</v>
      </c>
      <c r="AJ27" s="283"/>
      <c r="AK27" s="283"/>
      <c r="AL27" s="276"/>
      <c r="AN27" s="275">
        <v>206</v>
      </c>
      <c r="AO27" s="276" t="s">
        <v>213</v>
      </c>
      <c r="AQ27" s="507" t="str">
        <f t="shared" si="0"/>
        <v>2-3</v>
      </c>
      <c r="AR27" s="509" t="str">
        <f t="shared" si="1"/>
        <v/>
      </c>
      <c r="AS27" s="511" t="str">
        <f t="shared" si="2"/>
        <v/>
      </c>
      <c r="AT27" s="513" t="str">
        <f t="shared" si="3"/>
        <v/>
      </c>
      <c r="AU27" s="515" t="str">
        <f t="shared" si="4"/>
        <v/>
      </c>
      <c r="AV27" s="517" t="str">
        <f t="shared" si="5"/>
        <v/>
      </c>
      <c r="AW27" s="589" t="str">
        <f>IFERROR(VLOOKUP(功能_33[[#This Row],[功能代號]],SIT_FT!D:D,1,FALSE),"")</f>
        <v>L2020</v>
      </c>
    </row>
    <row r="28" spans="3:49" ht="13.5" hidden="1" x14ac:dyDescent="0.3">
      <c r="C28" s="276" t="s">
        <v>78</v>
      </c>
      <c r="D28" s="276" t="s">
        <v>2506</v>
      </c>
      <c r="E28" s="275" t="s">
        <v>214</v>
      </c>
      <c r="F28" s="276" t="s">
        <v>215</v>
      </c>
      <c r="G28" s="276"/>
      <c r="H28" s="275" t="s">
        <v>179</v>
      </c>
      <c r="I28" s="275" t="s">
        <v>189</v>
      </c>
      <c r="J28" s="218" t="s">
        <v>2603</v>
      </c>
      <c r="K28" s="283">
        <v>44565</v>
      </c>
      <c r="L28" s="283">
        <v>44565</v>
      </c>
      <c r="M28" s="283">
        <v>44404</v>
      </c>
      <c r="N28" s="283">
        <v>44405</v>
      </c>
      <c r="O28" s="283">
        <f>IFERROR(IF(VLOOKUP(功能_33[[#This Row],[功能代號]],討論項目!A:H,8,FALSE)=0,"",VLOOKUP(功能_33[[#This Row],[功能代號]],討論項目!A:H,8,FALSE)),"")</f>
        <v>44428</v>
      </c>
      <c r="P28" s="275" t="s">
        <v>10</v>
      </c>
      <c r="Q28" s="275" t="s">
        <v>13</v>
      </c>
      <c r="R28" s="258" t="s">
        <v>212</v>
      </c>
      <c r="V28" s="275"/>
      <c r="X28" s="275"/>
      <c r="Y28" s="275"/>
      <c r="Z28" s="276" t="str">
        <f>VLOOKUP(功能_33[[#This Row],[User]],SKL放款!A:G,7,FALSE)</f>
        <v>放款推展課</v>
      </c>
      <c r="AA28" s="283">
        <v>44533</v>
      </c>
      <c r="AB28" s="283">
        <v>44470</v>
      </c>
      <c r="AC28" s="283">
        <f>IF(功能_33[[#This Row],[URS交二審]]=0,"",功能_33[[#This Row],[URS交二審]]+7)</f>
        <v>44477</v>
      </c>
      <c r="AD28" s="283">
        <f>IF(功能_33[[#This Row],[URS交二審]]=0,"",功能_33[[#This Row],[URS交二審]]+7)</f>
        <v>44477</v>
      </c>
      <c r="AE28" s="283">
        <v>44539</v>
      </c>
      <c r="AF28" s="283" t="s">
        <v>182</v>
      </c>
      <c r="AG28" s="283"/>
      <c r="AH28" s="334"/>
      <c r="AI28" s="283">
        <f>IFERROR(IF(VLOOKUP(功能_33[[#This Row],[功能代號]],E:S,11,FALSE)=0,"",VLOOKUP(功能_33[[#This Row],[功能代號]],E:S,11,FALSE)),"")</f>
        <v>44428</v>
      </c>
      <c r="AJ28" s="283"/>
      <c r="AK28" s="283"/>
      <c r="AL28" s="276"/>
      <c r="AN28" s="275">
        <v>206</v>
      </c>
      <c r="AO28" s="276" t="s">
        <v>215</v>
      </c>
      <c r="AQ28" s="507" t="str">
        <f t="shared" si="0"/>
        <v>2-3</v>
      </c>
      <c r="AR28" s="509" t="str">
        <f t="shared" si="1"/>
        <v/>
      </c>
      <c r="AS28" s="511" t="str">
        <f t="shared" si="2"/>
        <v/>
      </c>
      <c r="AT28" s="513" t="str">
        <f t="shared" si="3"/>
        <v/>
      </c>
      <c r="AU28" s="515" t="str">
        <f t="shared" si="4"/>
        <v/>
      </c>
      <c r="AV28" s="517" t="str">
        <f t="shared" si="5"/>
        <v/>
      </c>
      <c r="AW28" s="589" t="str">
        <f>IFERROR(VLOOKUP(功能_33[[#This Row],[功能代號]],SIT_FT!D:D,1,FALSE),"")</f>
        <v>L2250</v>
      </c>
    </row>
    <row r="29" spans="3:49" ht="13.5" hidden="1" x14ac:dyDescent="0.3">
      <c r="C29" s="276" t="s">
        <v>78</v>
      </c>
      <c r="D29" s="276" t="s">
        <v>2506</v>
      </c>
      <c r="E29" s="275" t="s">
        <v>216</v>
      </c>
      <c r="F29" s="276" t="s">
        <v>217</v>
      </c>
      <c r="G29" s="276"/>
      <c r="H29" s="275" t="s">
        <v>179</v>
      </c>
      <c r="I29" s="275" t="s">
        <v>189</v>
      </c>
      <c r="J29" s="218" t="s">
        <v>2603</v>
      </c>
      <c r="K29" s="283">
        <v>44565</v>
      </c>
      <c r="L29" s="283">
        <v>44565</v>
      </c>
      <c r="M29" s="283">
        <v>44404</v>
      </c>
      <c r="N29" s="283">
        <v>44405</v>
      </c>
      <c r="O29" s="283">
        <f>IFERROR(IF(VLOOKUP(功能_33[[#This Row],[功能代號]],討論項目!A:H,8,FALSE)=0,"",VLOOKUP(功能_33[[#This Row],[功能代號]],討論項目!A:H,8,FALSE)),"")</f>
        <v>44428</v>
      </c>
      <c r="P29" s="275" t="s">
        <v>10</v>
      </c>
      <c r="Q29" s="275" t="s">
        <v>158</v>
      </c>
      <c r="V29" s="275"/>
      <c r="X29" s="275"/>
      <c r="Y29" s="275"/>
      <c r="Z29" s="276" t="str">
        <f>VLOOKUP(功能_33[[#This Row],[User]],SKL放款!A:G,7,FALSE)</f>
        <v>放款服務課</v>
      </c>
      <c r="AA29" s="283">
        <v>44533</v>
      </c>
      <c r="AB29" s="283">
        <v>44470</v>
      </c>
      <c r="AC29" s="283">
        <f>IF(功能_33[[#This Row],[URS交二審]]=0,"",功能_33[[#This Row],[URS交二審]]+7)</f>
        <v>44477</v>
      </c>
      <c r="AD29" s="283">
        <f>IF(功能_33[[#This Row],[URS交二審]]=0,"",功能_33[[#This Row],[URS交二審]]+7)</f>
        <v>44477</v>
      </c>
      <c r="AE29" s="283">
        <v>44539</v>
      </c>
      <c r="AF29" s="283" t="s">
        <v>182</v>
      </c>
      <c r="AG29" s="283"/>
      <c r="AH29" s="334"/>
      <c r="AI29" s="283">
        <f>IFERROR(IF(VLOOKUP(功能_33[[#This Row],[功能代號]],E:S,11,FALSE)=0,"",VLOOKUP(功能_33[[#This Row],[功能代號]],E:S,11,FALSE)),"")</f>
        <v>44428</v>
      </c>
      <c r="AJ29" s="283"/>
      <c r="AK29" s="283"/>
      <c r="AL29" s="276"/>
      <c r="AN29" s="275">
        <v>214</v>
      </c>
      <c r="AO29" s="276" t="s">
        <v>218</v>
      </c>
      <c r="AQ29" s="507" t="str">
        <f t="shared" si="0"/>
        <v>2-3</v>
      </c>
      <c r="AR29" s="509" t="str">
        <f t="shared" si="1"/>
        <v/>
      </c>
      <c r="AS29" s="511" t="str">
        <f t="shared" si="2"/>
        <v/>
      </c>
      <c r="AT29" s="513" t="str">
        <f t="shared" si="3"/>
        <v/>
      </c>
      <c r="AU29" s="515" t="str">
        <f t="shared" si="4"/>
        <v/>
      </c>
      <c r="AV29" s="517" t="str">
        <f t="shared" si="5"/>
        <v/>
      </c>
      <c r="AW29" s="589" t="str">
        <f>IFERROR(VLOOKUP(功能_33[[#This Row],[功能代號]],SIT_FT!D:D,1,FALSE),"")</f>
        <v>L2902</v>
      </c>
    </row>
    <row r="30" spans="3:49" ht="13.5" hidden="1" x14ac:dyDescent="0.3">
      <c r="C30" s="276" t="s">
        <v>82</v>
      </c>
      <c r="D30" s="276" t="s">
        <v>2507</v>
      </c>
      <c r="E30" s="275" t="s">
        <v>219</v>
      </c>
      <c r="F30" s="276" t="s">
        <v>220</v>
      </c>
      <c r="G30" s="276"/>
      <c r="H30" s="275" t="s">
        <v>179</v>
      </c>
      <c r="I30" s="275" t="s">
        <v>189</v>
      </c>
      <c r="J30" s="218" t="s">
        <v>2875</v>
      </c>
      <c r="K30" s="283">
        <v>44571</v>
      </c>
      <c r="L30" s="283">
        <v>44571</v>
      </c>
      <c r="M30" s="283">
        <v>44404</v>
      </c>
      <c r="N30" s="283">
        <v>44404</v>
      </c>
      <c r="O30" s="283">
        <v>44428</v>
      </c>
      <c r="P30" s="275" t="s">
        <v>12</v>
      </c>
      <c r="Q30" s="275" t="s">
        <v>221</v>
      </c>
      <c r="R30" s="258" t="s">
        <v>26</v>
      </c>
      <c r="V30" s="275"/>
      <c r="X30" s="275"/>
      <c r="Y30" s="275"/>
      <c r="Z30" s="276" t="str">
        <f>VLOOKUP(功能_33[[#This Row],[User]],SKL放款!A:G,7,FALSE)</f>
        <v>放款審查課</v>
      </c>
      <c r="AA30" s="283">
        <v>44533</v>
      </c>
      <c r="AB30" s="283" t="s">
        <v>181</v>
      </c>
      <c r="AC30" s="283">
        <v>44544</v>
      </c>
      <c r="AD30" s="283">
        <v>44544</v>
      </c>
      <c r="AE30" s="283">
        <v>44550</v>
      </c>
      <c r="AF30" s="283"/>
      <c r="AG30" s="283"/>
      <c r="AH30" s="334"/>
      <c r="AI30" s="283">
        <f>IFERROR(IF(VLOOKUP(功能_33[[#This Row],[功能代號]],E:S,11,FALSE)=0,"",VLOOKUP(功能_33[[#This Row],[功能代號]],E:S,11,FALSE)),"")</f>
        <v>44428</v>
      </c>
      <c r="AJ30" s="283"/>
      <c r="AK30" s="283"/>
      <c r="AL30" s="276"/>
      <c r="AM30" s="276"/>
      <c r="AN30" s="275" t="s">
        <v>176</v>
      </c>
      <c r="AQ30" s="507" t="str">
        <f t="shared" si="0"/>
        <v>6-6</v>
      </c>
      <c r="AR30" s="509" t="str">
        <f t="shared" si="1"/>
        <v/>
      </c>
      <c r="AS30" s="511" t="str">
        <f t="shared" si="2"/>
        <v/>
      </c>
      <c r="AT30" s="513" t="str">
        <f t="shared" si="3"/>
        <v/>
      </c>
      <c r="AU30" s="515" t="str">
        <f t="shared" si="4"/>
        <v/>
      </c>
      <c r="AV30" s="517" t="str">
        <f t="shared" si="5"/>
        <v/>
      </c>
      <c r="AW30" s="589" t="str">
        <f>IFERROR(VLOOKUP(功能_33[[#This Row],[功能代號]],SIT_FT!D:D,1,FALSE),"")</f>
        <v>L6070</v>
      </c>
    </row>
    <row r="31" spans="3:49" ht="13.5" hidden="1" x14ac:dyDescent="0.3">
      <c r="C31" s="276" t="s">
        <v>82</v>
      </c>
      <c r="D31" s="276" t="s">
        <v>2507</v>
      </c>
      <c r="E31" s="275" t="s">
        <v>222</v>
      </c>
      <c r="F31" s="276" t="s">
        <v>223</v>
      </c>
      <c r="G31" s="276"/>
      <c r="H31" s="275" t="s">
        <v>179</v>
      </c>
      <c r="I31" s="275" t="s">
        <v>189</v>
      </c>
      <c r="J31" s="218" t="s">
        <v>2875</v>
      </c>
      <c r="K31" s="283">
        <v>44571</v>
      </c>
      <c r="L31" s="283">
        <v>44571</v>
      </c>
      <c r="M31" s="283">
        <v>44404</v>
      </c>
      <c r="N31" s="283">
        <v>44404</v>
      </c>
      <c r="O31" s="283">
        <f>IFERROR(IF(VLOOKUP(功能_33[[#This Row],[功能代號]],討論項目!A:H,8,FALSE)=0,"",VLOOKUP(功能_33[[#This Row],[功能代號]],討論項目!A:H,8,FALSE)),"")</f>
        <v>44428</v>
      </c>
      <c r="P31" s="275" t="s">
        <v>12</v>
      </c>
      <c r="Q31" s="275" t="s">
        <v>221</v>
      </c>
      <c r="R31" s="258" t="s">
        <v>26</v>
      </c>
      <c r="V31" s="275"/>
      <c r="X31" s="275"/>
      <c r="Y31" s="275"/>
      <c r="Z31" s="276" t="str">
        <f>VLOOKUP(功能_33[[#This Row],[User]],SKL放款!A:G,7,FALSE)</f>
        <v>放款審查課</v>
      </c>
      <c r="AA31" s="283">
        <v>44533</v>
      </c>
      <c r="AB31" s="283" t="s">
        <v>119</v>
      </c>
      <c r="AC31" s="283">
        <v>44544</v>
      </c>
      <c r="AD31" s="283">
        <v>44544</v>
      </c>
      <c r="AE31" s="283">
        <v>44550</v>
      </c>
      <c r="AF31" s="283"/>
      <c r="AG31" s="283"/>
      <c r="AH31" s="334"/>
      <c r="AI31" s="283">
        <f>IFERROR(IF(VLOOKUP(功能_33[[#This Row],[功能代號]],E:S,11,FALSE)=0,"",VLOOKUP(功能_33[[#This Row],[功能代號]],E:S,11,FALSE)),"")</f>
        <v>44428</v>
      </c>
      <c r="AJ31" s="283"/>
      <c r="AK31" s="283"/>
      <c r="AL31" s="276"/>
      <c r="AM31" s="276"/>
      <c r="AN31" s="275" t="s">
        <v>176</v>
      </c>
      <c r="AQ31" s="507" t="str">
        <f t="shared" si="0"/>
        <v>6-6</v>
      </c>
      <c r="AR31" s="509" t="str">
        <f t="shared" si="1"/>
        <v/>
      </c>
      <c r="AS31" s="511" t="str">
        <f t="shared" si="2"/>
        <v/>
      </c>
      <c r="AT31" s="513" t="str">
        <f t="shared" si="3"/>
        <v/>
      </c>
      <c r="AU31" s="515" t="str">
        <f t="shared" si="4"/>
        <v/>
      </c>
      <c r="AV31" s="517" t="str">
        <f t="shared" si="5"/>
        <v/>
      </c>
      <c r="AW31" s="589" t="str">
        <f>IFERROR(VLOOKUP(功能_33[[#This Row],[功能代號]],SIT_FT!D:D,1,FALSE),"")</f>
        <v>L6700</v>
      </c>
    </row>
    <row r="32" spans="3:49" ht="13.5" hidden="1" x14ac:dyDescent="0.3">
      <c r="C32" s="276" t="s">
        <v>78</v>
      </c>
      <c r="D32" s="219" t="s">
        <v>2472</v>
      </c>
      <c r="E32" s="275" t="s">
        <v>224</v>
      </c>
      <c r="F32" s="276" t="s">
        <v>225</v>
      </c>
      <c r="G32" s="276"/>
      <c r="H32" s="275" t="s">
        <v>179</v>
      </c>
      <c r="I32" s="275" t="s">
        <v>189</v>
      </c>
      <c r="J32" s="218" t="s">
        <v>2775</v>
      </c>
      <c r="K32" s="283">
        <v>44568</v>
      </c>
      <c r="L32" s="283">
        <v>44568</v>
      </c>
      <c r="M32" s="283">
        <v>44404</v>
      </c>
      <c r="N32" s="283">
        <v>44405</v>
      </c>
      <c r="O32" s="283">
        <f>IFERROR(IF(VLOOKUP(功能_33[[#This Row],[功能代號]],討論項目!A:H,8,FALSE)=0,"",VLOOKUP(功能_33[[#This Row],[功能代號]],討論項目!A:H,8,FALSE)),"")</f>
        <v>44428</v>
      </c>
      <c r="P32" s="275" t="s">
        <v>12</v>
      </c>
      <c r="Q32" s="275" t="s">
        <v>221</v>
      </c>
      <c r="R32" s="258" t="s">
        <v>26</v>
      </c>
      <c r="V32" s="275"/>
      <c r="X32" s="275"/>
      <c r="Y32" s="275"/>
      <c r="Z32" s="276" t="str">
        <f>VLOOKUP(功能_33[[#This Row],[User]],SKL放款!A:G,7,FALSE)</f>
        <v>放款審查課</v>
      </c>
      <c r="AA32" s="283">
        <v>44533</v>
      </c>
      <c r="AB32" s="283">
        <v>44470</v>
      </c>
      <c r="AC32" s="283">
        <f>IF(功能_33[[#This Row],[URS交二審]]=0,"",功能_33[[#This Row],[URS交二審]]+7)</f>
        <v>44477</v>
      </c>
      <c r="AD32" s="283">
        <f>IF(功能_33[[#This Row],[URS交二審]]=0,"",功能_33[[#This Row],[URS交二審]]+7)</f>
        <v>44477</v>
      </c>
      <c r="AE32" s="283">
        <v>44544</v>
      </c>
      <c r="AF32" s="283" t="s">
        <v>182</v>
      </c>
      <c r="AG32" s="283"/>
      <c r="AH32" s="334"/>
      <c r="AI32" s="283">
        <f>IFERROR(IF(VLOOKUP(功能_33[[#This Row],[功能代號]],E:S,11,FALSE)=0,"",VLOOKUP(功能_33[[#This Row],[功能代號]],E:S,11,FALSE)),"")</f>
        <v>44428</v>
      </c>
      <c r="AJ32" s="283"/>
      <c r="AK32" s="283"/>
      <c r="AL32" s="276"/>
      <c r="AN32" s="275">
        <v>213</v>
      </c>
      <c r="AO32" s="276" t="s">
        <v>226</v>
      </c>
      <c r="AQ32" s="507" t="str">
        <f t="shared" si="0"/>
        <v>2-2</v>
      </c>
      <c r="AR32" s="509" t="str">
        <f t="shared" si="1"/>
        <v/>
      </c>
      <c r="AS32" s="511" t="str">
        <f t="shared" si="2"/>
        <v/>
      </c>
      <c r="AT32" s="513" t="str">
        <f t="shared" si="3"/>
        <v/>
      </c>
      <c r="AU32" s="515" t="str">
        <f t="shared" si="4"/>
        <v/>
      </c>
      <c r="AV32" s="517" t="str">
        <f t="shared" si="5"/>
        <v/>
      </c>
      <c r="AW32" s="589" t="str">
        <f>IFERROR(VLOOKUP(功能_33[[#This Row],[功能代號]],SIT_FT!D:D,1,FALSE),"")</f>
        <v>L2921</v>
      </c>
    </row>
    <row r="33" spans="3:49" ht="13.5" hidden="1" x14ac:dyDescent="0.3">
      <c r="C33" s="276" t="s">
        <v>78</v>
      </c>
      <c r="D33" s="219" t="s">
        <v>2472</v>
      </c>
      <c r="E33" s="275" t="s">
        <v>227</v>
      </c>
      <c r="F33" s="276" t="s">
        <v>228</v>
      </c>
      <c r="G33" s="276"/>
      <c r="H33" s="275" t="s">
        <v>179</v>
      </c>
      <c r="I33" s="275" t="s">
        <v>189</v>
      </c>
      <c r="J33" s="218" t="s">
        <v>2775</v>
      </c>
      <c r="K33" s="283">
        <v>44568</v>
      </c>
      <c r="L33" s="283">
        <v>44568</v>
      </c>
      <c r="M33" s="283">
        <v>44404</v>
      </c>
      <c r="N33" s="283">
        <v>44405</v>
      </c>
      <c r="O33" s="283">
        <f>IFERROR(IF(VLOOKUP(功能_33[[#This Row],[功能代號]],討論項目!A:H,8,FALSE)=0,"",VLOOKUP(功能_33[[#This Row],[功能代號]],討論項目!A:H,8,FALSE)),"")</f>
        <v>44428</v>
      </c>
      <c r="P33" s="275" t="s">
        <v>12</v>
      </c>
      <c r="Q33" s="275" t="s">
        <v>221</v>
      </c>
      <c r="R33" s="258" t="s">
        <v>26</v>
      </c>
      <c r="V33" s="275"/>
      <c r="X33" s="275"/>
      <c r="Y33" s="275"/>
      <c r="Z33" s="276" t="str">
        <f>VLOOKUP(功能_33[[#This Row],[User]],SKL放款!A:G,7,FALSE)</f>
        <v>放款審查課</v>
      </c>
      <c r="AA33" s="283">
        <v>44533</v>
      </c>
      <c r="AB33" s="283">
        <v>44470</v>
      </c>
      <c r="AC33" s="283">
        <f>IF(功能_33[[#This Row],[URS交二審]]=0,"",功能_33[[#This Row],[URS交二審]]+7)</f>
        <v>44477</v>
      </c>
      <c r="AD33" s="283">
        <f>IF(功能_33[[#This Row],[URS交二審]]=0,"",功能_33[[#This Row],[URS交二審]]+7)</f>
        <v>44477</v>
      </c>
      <c r="AE33" s="283">
        <v>44544</v>
      </c>
      <c r="AF33" s="283" t="s">
        <v>182</v>
      </c>
      <c r="AG33" s="283"/>
      <c r="AH33" s="334"/>
      <c r="AI33" s="283">
        <f>IFERROR(IF(VLOOKUP(功能_33[[#This Row],[功能代號]],E:S,11,FALSE)=0,"",VLOOKUP(功能_33[[#This Row],[功能代號]],E:S,11,FALSE)),"")</f>
        <v>44428</v>
      </c>
      <c r="AJ33" s="283"/>
      <c r="AK33" s="283"/>
      <c r="AL33" s="276"/>
      <c r="AN33" s="275">
        <v>355</v>
      </c>
      <c r="AO33" s="276" t="s">
        <v>229</v>
      </c>
      <c r="AQ33" s="507" t="str">
        <f t="shared" si="0"/>
        <v>2-2</v>
      </c>
      <c r="AR33" s="509" t="str">
        <f t="shared" si="1"/>
        <v/>
      </c>
      <c r="AS33" s="511" t="str">
        <f t="shared" si="2"/>
        <v/>
      </c>
      <c r="AT33" s="513" t="str">
        <f t="shared" si="3"/>
        <v/>
      </c>
      <c r="AU33" s="515" t="str">
        <f t="shared" si="4"/>
        <v/>
      </c>
      <c r="AV33" s="517" t="str">
        <f t="shared" si="5"/>
        <v/>
      </c>
      <c r="AW33" s="589" t="str">
        <f>IFERROR(VLOOKUP(功能_33[[#This Row],[功能代號]],SIT_FT!D:D,1,FALSE),"")</f>
        <v>L2801</v>
      </c>
    </row>
    <row r="34" spans="3:49" ht="13.5" hidden="1" x14ac:dyDescent="0.3">
      <c r="C34" s="276" t="s">
        <v>78</v>
      </c>
      <c r="D34" s="219" t="s">
        <v>2472</v>
      </c>
      <c r="E34" s="275" t="s">
        <v>230</v>
      </c>
      <c r="F34" s="276" t="s">
        <v>231</v>
      </c>
      <c r="G34" s="276"/>
      <c r="H34" s="275" t="s">
        <v>179</v>
      </c>
      <c r="I34" s="275" t="s">
        <v>180</v>
      </c>
      <c r="J34" s="218" t="s">
        <v>2775</v>
      </c>
      <c r="K34" s="283">
        <v>44568</v>
      </c>
      <c r="L34" s="283">
        <v>44568</v>
      </c>
      <c r="M34" s="283">
        <v>44431</v>
      </c>
      <c r="N34" s="283">
        <v>44431</v>
      </c>
      <c r="O34" s="283">
        <v>44533</v>
      </c>
      <c r="P34" s="275" t="s">
        <v>7</v>
      </c>
      <c r="Q34" s="275" t="s">
        <v>13</v>
      </c>
      <c r="R34" s="258" t="s">
        <v>212</v>
      </c>
      <c r="V34" s="275"/>
      <c r="X34" s="275"/>
      <c r="Y34" s="275"/>
      <c r="Z34" s="276" t="str">
        <f>VLOOKUP(功能_33[[#This Row],[User]],SKL放款!A:G,7,FALSE)</f>
        <v>放款推展課</v>
      </c>
      <c r="AA34" s="283">
        <v>44533</v>
      </c>
      <c r="AB34" s="283">
        <v>44477</v>
      </c>
      <c r="AC34" s="283">
        <v>44477</v>
      </c>
      <c r="AD34" s="283">
        <v>44477</v>
      </c>
      <c r="AE34" s="283">
        <v>44544</v>
      </c>
      <c r="AF34" s="283" t="s">
        <v>182</v>
      </c>
      <c r="AG34" s="283"/>
      <c r="AH34" s="334"/>
      <c r="AI34" s="283">
        <f>IFERROR(IF(VLOOKUP(功能_33[[#This Row],[功能代號]],E:S,11,FALSE)=0,"",VLOOKUP(功能_33[[#This Row],[功能代號]],E:S,11,FALSE)),"")</f>
        <v>44533</v>
      </c>
      <c r="AJ34" s="283"/>
      <c r="AK34" s="283"/>
      <c r="AL34" s="276"/>
      <c r="AN34" s="275" t="s">
        <v>176</v>
      </c>
      <c r="AO34" s="275" t="s">
        <v>176</v>
      </c>
      <c r="AQ34" s="507" t="str">
        <f t="shared" si="0"/>
        <v>2-2</v>
      </c>
      <c r="AR34" s="509" t="str">
        <f t="shared" si="1"/>
        <v/>
      </c>
      <c r="AS34" s="511" t="str">
        <f t="shared" si="2"/>
        <v/>
      </c>
      <c r="AT34" s="513" t="str">
        <f t="shared" si="3"/>
        <v/>
      </c>
      <c r="AU34" s="515" t="str">
        <f t="shared" si="4"/>
        <v/>
      </c>
      <c r="AV34" s="517" t="str">
        <f t="shared" si="5"/>
        <v/>
      </c>
      <c r="AW34" s="589" t="str">
        <f>IFERROR(VLOOKUP(功能_33[[#This Row],[功能代號]],SIT_FT!D:D,1,FALSE),"")</f>
        <v>L2018</v>
      </c>
    </row>
    <row r="35" spans="3:49" ht="13.5" hidden="1" x14ac:dyDescent="0.3">
      <c r="C35" s="276" t="s">
        <v>78</v>
      </c>
      <c r="D35" s="219" t="s">
        <v>2472</v>
      </c>
      <c r="E35" s="275" t="s">
        <v>232</v>
      </c>
      <c r="F35" s="276" t="s">
        <v>233</v>
      </c>
      <c r="G35" s="276"/>
      <c r="H35" s="275" t="s">
        <v>179</v>
      </c>
      <c r="I35" s="275" t="s">
        <v>180</v>
      </c>
      <c r="J35" s="218" t="s">
        <v>2981</v>
      </c>
      <c r="K35" s="283">
        <v>44568</v>
      </c>
      <c r="L35" s="283">
        <v>44568</v>
      </c>
      <c r="M35" s="283">
        <v>44431</v>
      </c>
      <c r="N35" s="283">
        <v>44431</v>
      </c>
      <c r="O35" s="283">
        <v>44533</v>
      </c>
      <c r="P35" s="275" t="s">
        <v>7</v>
      </c>
      <c r="Q35" s="275" t="s">
        <v>13</v>
      </c>
      <c r="R35" s="258" t="s">
        <v>212</v>
      </c>
      <c r="V35" s="275"/>
      <c r="X35" s="275"/>
      <c r="Y35" s="275"/>
      <c r="Z35" s="276" t="str">
        <f>VLOOKUP(功能_33[[#This Row],[User]],SKL放款!A:G,7,FALSE)</f>
        <v>放款推展課</v>
      </c>
      <c r="AA35" s="283">
        <v>44533</v>
      </c>
      <c r="AB35" s="283">
        <v>44477</v>
      </c>
      <c r="AC35" s="283">
        <v>44477</v>
      </c>
      <c r="AD35" s="283">
        <v>44477</v>
      </c>
      <c r="AE35" s="283" t="s">
        <v>3002</v>
      </c>
      <c r="AF35" s="283" t="s">
        <v>182</v>
      </c>
      <c r="AG35" s="283"/>
      <c r="AH35" s="334"/>
      <c r="AI35" s="283">
        <f>IFERROR(IF(VLOOKUP(功能_33[[#This Row],[功能代號]],E:S,11,FALSE)=0,"",VLOOKUP(功能_33[[#This Row],[功能代號]],E:S,11,FALSE)),"")</f>
        <v>44533</v>
      </c>
      <c r="AJ35" s="283"/>
      <c r="AK35" s="283"/>
      <c r="AL35" s="276"/>
      <c r="AN35" s="275" t="s">
        <v>176</v>
      </c>
      <c r="AO35" s="275" t="s">
        <v>176</v>
      </c>
      <c r="AQ35" s="507" t="str">
        <f t="shared" si="0"/>
        <v>2-2</v>
      </c>
      <c r="AR35" s="509" t="str">
        <f t="shared" si="1"/>
        <v/>
      </c>
      <c r="AS35" s="511" t="str">
        <f t="shared" si="2"/>
        <v/>
      </c>
      <c r="AT35" s="513" t="str">
        <f t="shared" si="3"/>
        <v/>
      </c>
      <c r="AU35" s="515" t="str">
        <f t="shared" si="4"/>
        <v/>
      </c>
      <c r="AV35" s="517" t="str">
        <f t="shared" si="5"/>
        <v/>
      </c>
      <c r="AW35" s="589" t="str">
        <f>IFERROR(VLOOKUP(功能_33[[#This Row],[功能代號]],SIT_FT!D:D,1,FALSE),"")</f>
        <v>L2118</v>
      </c>
    </row>
    <row r="36" spans="3:49" ht="13.5" hidden="1" x14ac:dyDescent="0.3">
      <c r="C36" s="276" t="s">
        <v>78</v>
      </c>
      <c r="D36" s="219" t="s">
        <v>2472</v>
      </c>
      <c r="E36" s="275" t="s">
        <v>234</v>
      </c>
      <c r="F36" s="276" t="s">
        <v>235</v>
      </c>
      <c r="G36" s="276"/>
      <c r="H36" s="275" t="s">
        <v>179</v>
      </c>
      <c r="I36" s="275" t="s">
        <v>180</v>
      </c>
      <c r="J36" s="218" t="s">
        <v>2775</v>
      </c>
      <c r="K36" s="283">
        <v>44568</v>
      </c>
      <c r="L36" s="283">
        <v>44568</v>
      </c>
      <c r="M36" s="283">
        <v>44431</v>
      </c>
      <c r="N36" s="283">
        <v>44431</v>
      </c>
      <c r="O36" s="283">
        <v>44533</v>
      </c>
      <c r="P36" s="275" t="s">
        <v>7</v>
      </c>
      <c r="Q36" s="275" t="s">
        <v>13</v>
      </c>
      <c r="R36" s="258" t="s">
        <v>212</v>
      </c>
      <c r="V36" s="275"/>
      <c r="X36" s="275"/>
      <c r="Y36" s="275"/>
      <c r="Z36" s="276" t="str">
        <f>VLOOKUP(功能_33[[#This Row],[User]],SKL放款!A:G,7,FALSE)</f>
        <v>放款推展課</v>
      </c>
      <c r="AA36" s="283">
        <v>44533</v>
      </c>
      <c r="AB36" s="283">
        <v>44477</v>
      </c>
      <c r="AC36" s="283">
        <v>44477</v>
      </c>
      <c r="AD36" s="283">
        <v>44477</v>
      </c>
      <c r="AE36" s="283">
        <v>44544</v>
      </c>
      <c r="AF36" s="283" t="s">
        <v>182</v>
      </c>
      <c r="AG36" s="283"/>
      <c r="AH36" s="334"/>
      <c r="AI36" s="283">
        <f>IFERROR(IF(VLOOKUP(功能_33[[#This Row],[功能代號]],E:S,11,FALSE)=0,"",VLOOKUP(功能_33[[#This Row],[功能代號]],E:S,11,FALSE)),"")</f>
        <v>44533</v>
      </c>
      <c r="AJ36" s="283"/>
      <c r="AK36" s="283"/>
      <c r="AL36" s="276"/>
      <c r="AN36" s="275" t="s">
        <v>176</v>
      </c>
      <c r="AO36" s="275" t="s">
        <v>176</v>
      </c>
      <c r="AQ36" s="507" t="str">
        <f t="shared" si="0"/>
        <v>2-2</v>
      </c>
      <c r="AR36" s="509" t="str">
        <f t="shared" si="1"/>
        <v/>
      </c>
      <c r="AS36" s="511" t="str">
        <f t="shared" si="2"/>
        <v/>
      </c>
      <c r="AT36" s="513" t="str">
        <f t="shared" si="3"/>
        <v/>
      </c>
      <c r="AU36" s="515" t="str">
        <f t="shared" si="4"/>
        <v/>
      </c>
      <c r="AV36" s="517" t="str">
        <f t="shared" si="5"/>
        <v/>
      </c>
      <c r="AW36" s="589" t="str">
        <f>IFERROR(VLOOKUP(功能_33[[#This Row],[功能代號]],SIT_FT!D:D,1,FALSE),"")</f>
        <v>L291A</v>
      </c>
    </row>
    <row r="37" spans="3:49" ht="13.5" hidden="1" x14ac:dyDescent="0.3">
      <c r="C37" s="276" t="s">
        <v>78</v>
      </c>
      <c r="D37" s="219" t="s">
        <v>2472</v>
      </c>
      <c r="E37" s="275" t="s">
        <v>236</v>
      </c>
      <c r="F37" s="276" t="s">
        <v>237</v>
      </c>
      <c r="G37" s="276"/>
      <c r="H37" s="275" t="s">
        <v>179</v>
      </c>
      <c r="I37" s="275" t="s">
        <v>180</v>
      </c>
      <c r="J37" s="218" t="s">
        <v>2775</v>
      </c>
      <c r="K37" s="283">
        <v>44568</v>
      </c>
      <c r="L37" s="283">
        <v>44568</v>
      </c>
      <c r="M37" s="283">
        <v>44431</v>
      </c>
      <c r="N37" s="283">
        <v>44431</v>
      </c>
      <c r="O37" s="283">
        <v>44533</v>
      </c>
      <c r="P37" s="275" t="s">
        <v>7</v>
      </c>
      <c r="Q37" s="275" t="s">
        <v>13</v>
      </c>
      <c r="R37" s="258" t="s">
        <v>212</v>
      </c>
      <c r="V37" s="275"/>
      <c r="X37" s="275"/>
      <c r="Y37" s="275"/>
      <c r="Z37" s="276" t="str">
        <f>VLOOKUP(功能_33[[#This Row],[User]],SKL放款!A:G,7,FALSE)</f>
        <v>放款推展課</v>
      </c>
      <c r="AA37" s="283">
        <v>44533</v>
      </c>
      <c r="AB37" s="283">
        <v>44477</v>
      </c>
      <c r="AC37" s="283">
        <v>44477</v>
      </c>
      <c r="AD37" s="283">
        <v>44477</v>
      </c>
      <c r="AE37" s="283">
        <v>44544</v>
      </c>
      <c r="AF37" s="283" t="s">
        <v>182</v>
      </c>
      <c r="AG37" s="283"/>
      <c r="AH37" s="334"/>
      <c r="AI37" s="283">
        <f>IFERROR(IF(VLOOKUP(功能_33[[#This Row],[功能代號]],E:S,11,FALSE)=0,"",VLOOKUP(功能_33[[#This Row],[功能代號]],E:S,11,FALSE)),"")</f>
        <v>44533</v>
      </c>
      <c r="AJ37" s="283"/>
      <c r="AK37" s="283"/>
      <c r="AL37" s="276"/>
      <c r="AN37" s="275" t="s">
        <v>176</v>
      </c>
      <c r="AO37" s="275" t="s">
        <v>176</v>
      </c>
      <c r="AQ37" s="507" t="str">
        <f t="shared" si="0"/>
        <v>2-2</v>
      </c>
      <c r="AR37" s="509" t="str">
        <f t="shared" si="1"/>
        <v/>
      </c>
      <c r="AS37" s="511" t="str">
        <f t="shared" si="2"/>
        <v/>
      </c>
      <c r="AT37" s="513" t="str">
        <f t="shared" si="3"/>
        <v/>
      </c>
      <c r="AU37" s="515" t="str">
        <f t="shared" si="4"/>
        <v/>
      </c>
      <c r="AV37" s="517" t="str">
        <f t="shared" si="5"/>
        <v/>
      </c>
      <c r="AW37" s="589" t="str">
        <f>IFERROR(VLOOKUP(功能_33[[#This Row],[功能代號]],SIT_FT!D:D,1,FALSE),"")</f>
        <v>L2019</v>
      </c>
    </row>
    <row r="38" spans="3:49" ht="13.5" hidden="1" x14ac:dyDescent="0.3">
      <c r="C38" s="276" t="s">
        <v>78</v>
      </c>
      <c r="D38" s="219" t="s">
        <v>2472</v>
      </c>
      <c r="E38" s="275" t="s">
        <v>238</v>
      </c>
      <c r="F38" s="276" t="s">
        <v>239</v>
      </c>
      <c r="G38" s="276"/>
      <c r="H38" s="275" t="s">
        <v>179</v>
      </c>
      <c r="I38" s="275" t="s">
        <v>180</v>
      </c>
      <c r="J38" s="218" t="s">
        <v>2775</v>
      </c>
      <c r="K38" s="283">
        <v>44568</v>
      </c>
      <c r="L38" s="283">
        <v>44568</v>
      </c>
      <c r="M38" s="283">
        <v>44431</v>
      </c>
      <c r="N38" s="283">
        <v>44431</v>
      </c>
      <c r="O38" s="283">
        <v>44533</v>
      </c>
      <c r="P38" s="275" t="s">
        <v>7</v>
      </c>
      <c r="Q38" s="275" t="s">
        <v>13</v>
      </c>
      <c r="R38" s="258" t="s">
        <v>212</v>
      </c>
      <c r="V38" s="275"/>
      <c r="X38" s="275"/>
      <c r="Y38" s="275"/>
      <c r="Z38" s="276" t="str">
        <f>VLOOKUP(功能_33[[#This Row],[User]],SKL放款!A:G,7,FALSE)</f>
        <v>放款推展課</v>
      </c>
      <c r="AA38" s="283">
        <v>44533</v>
      </c>
      <c r="AB38" s="283">
        <v>44477</v>
      </c>
      <c r="AC38" s="283">
        <v>44477</v>
      </c>
      <c r="AD38" s="283">
        <v>44477</v>
      </c>
      <c r="AE38" s="283">
        <v>44544</v>
      </c>
      <c r="AF38" s="283" t="s">
        <v>182</v>
      </c>
      <c r="AG38" s="283"/>
      <c r="AH38" s="334"/>
      <c r="AI38" s="283">
        <f>IFERROR(IF(VLOOKUP(功能_33[[#This Row],[功能代號]],E:S,11,FALSE)=0,"",VLOOKUP(功能_33[[#This Row],[功能代號]],E:S,11,FALSE)),"")</f>
        <v>44533</v>
      </c>
      <c r="AJ38" s="283"/>
      <c r="AK38" s="283"/>
      <c r="AL38" s="276"/>
      <c r="AN38" s="275" t="s">
        <v>176</v>
      </c>
      <c r="AO38" s="275" t="s">
        <v>176</v>
      </c>
      <c r="AQ38" s="507" t="str">
        <f t="shared" si="0"/>
        <v>2-2</v>
      </c>
      <c r="AR38" s="509" t="str">
        <f t="shared" si="1"/>
        <v/>
      </c>
      <c r="AS38" s="511" t="str">
        <f t="shared" si="2"/>
        <v/>
      </c>
      <c r="AT38" s="513" t="str">
        <f t="shared" si="3"/>
        <v/>
      </c>
      <c r="AU38" s="515" t="str">
        <f t="shared" si="4"/>
        <v/>
      </c>
      <c r="AV38" s="517" t="str">
        <f t="shared" si="5"/>
        <v/>
      </c>
      <c r="AW38" s="589" t="str">
        <f>IFERROR(VLOOKUP(功能_33[[#This Row],[功能代號]],SIT_FT!D:D,1,FALSE),"")</f>
        <v>L2119</v>
      </c>
    </row>
    <row r="39" spans="3:49" ht="13.5" hidden="1" x14ac:dyDescent="0.3">
      <c r="C39" s="276" t="s">
        <v>78</v>
      </c>
      <c r="D39" s="219" t="s">
        <v>2472</v>
      </c>
      <c r="E39" s="275" t="s">
        <v>240</v>
      </c>
      <c r="F39" s="276" t="s">
        <v>241</v>
      </c>
      <c r="G39" s="276"/>
      <c r="H39" s="275" t="s">
        <v>179</v>
      </c>
      <c r="I39" s="275" t="s">
        <v>180</v>
      </c>
      <c r="J39" s="218" t="s">
        <v>2775</v>
      </c>
      <c r="K39" s="283">
        <v>44568</v>
      </c>
      <c r="L39" s="283">
        <v>44568</v>
      </c>
      <c r="M39" s="283">
        <v>44431</v>
      </c>
      <c r="N39" s="283">
        <v>44431</v>
      </c>
      <c r="O39" s="283">
        <v>44533</v>
      </c>
      <c r="P39" s="275" t="s">
        <v>7</v>
      </c>
      <c r="Q39" s="275" t="s">
        <v>13</v>
      </c>
      <c r="R39" s="258" t="s">
        <v>212</v>
      </c>
      <c r="V39" s="275"/>
      <c r="X39" s="275"/>
      <c r="Y39" s="275"/>
      <c r="Z39" s="276" t="str">
        <f>VLOOKUP(功能_33[[#This Row],[User]],SKL放款!A:G,7,FALSE)</f>
        <v>放款推展課</v>
      </c>
      <c r="AA39" s="283">
        <v>44533</v>
      </c>
      <c r="AB39" s="283">
        <v>44477</v>
      </c>
      <c r="AC39" s="283">
        <v>44477</v>
      </c>
      <c r="AD39" s="283">
        <v>44477</v>
      </c>
      <c r="AE39" s="283">
        <v>44544</v>
      </c>
      <c r="AF39" s="283" t="s">
        <v>182</v>
      </c>
      <c r="AG39" s="283"/>
      <c r="AH39" s="334"/>
      <c r="AI39" s="283">
        <f>IFERROR(IF(VLOOKUP(功能_33[[#This Row],[功能代號]],E:S,11,FALSE)=0,"",VLOOKUP(功能_33[[#This Row],[功能代號]],E:S,11,FALSE)),"")</f>
        <v>44533</v>
      </c>
      <c r="AJ39" s="283"/>
      <c r="AK39" s="283"/>
      <c r="AL39" s="276"/>
      <c r="AN39" s="275" t="s">
        <v>176</v>
      </c>
      <c r="AO39" s="275" t="s">
        <v>176</v>
      </c>
      <c r="AQ39" s="507" t="str">
        <f t="shared" si="0"/>
        <v>2-2</v>
      </c>
      <c r="AR39" s="509" t="str">
        <f t="shared" si="1"/>
        <v/>
      </c>
      <c r="AS39" s="511" t="str">
        <f t="shared" si="2"/>
        <v/>
      </c>
      <c r="AT39" s="513" t="str">
        <f t="shared" si="3"/>
        <v/>
      </c>
      <c r="AU39" s="515" t="str">
        <f t="shared" si="4"/>
        <v/>
      </c>
      <c r="AV39" s="517" t="str">
        <f t="shared" si="5"/>
        <v/>
      </c>
      <c r="AW39" s="589" t="str">
        <f>IFERROR(VLOOKUP(功能_33[[#This Row],[功能代號]],SIT_FT!D:D,1,FALSE),"")</f>
        <v>L291B</v>
      </c>
    </row>
    <row r="40" spans="3:49" ht="13.5" hidden="1" x14ac:dyDescent="0.3">
      <c r="C40" s="276" t="s">
        <v>78</v>
      </c>
      <c r="D40" s="276" t="s">
        <v>2506</v>
      </c>
      <c r="E40" s="275" t="s">
        <v>242</v>
      </c>
      <c r="F40" s="276" t="s">
        <v>243</v>
      </c>
      <c r="G40" s="276"/>
      <c r="H40" s="275" t="s">
        <v>179</v>
      </c>
      <c r="I40" s="275" t="s">
        <v>189</v>
      </c>
      <c r="J40" s="218" t="s">
        <v>2603</v>
      </c>
      <c r="K40" s="283">
        <v>44565</v>
      </c>
      <c r="L40" s="283">
        <v>44565</v>
      </c>
      <c r="M40" s="283">
        <v>44431</v>
      </c>
      <c r="N40" s="283">
        <v>44431</v>
      </c>
      <c r="O40" s="283">
        <v>44536</v>
      </c>
      <c r="P40" s="275" t="s">
        <v>10</v>
      </c>
      <c r="Q40" s="275" t="s">
        <v>13</v>
      </c>
      <c r="R40" s="258" t="s">
        <v>212</v>
      </c>
      <c r="V40" s="275"/>
      <c r="X40" s="275"/>
      <c r="Y40" s="275"/>
      <c r="Z40" s="276" t="str">
        <f>VLOOKUP(功能_33[[#This Row],[User]],SKL放款!A:G,7,FALSE)</f>
        <v>放款推展課</v>
      </c>
      <c r="AA40" s="283">
        <v>44533</v>
      </c>
      <c r="AB40" s="283">
        <v>44470</v>
      </c>
      <c r="AC40" s="283">
        <f>IF(功能_33[[#This Row],[URS交二審]]=0,"",功能_33[[#This Row],[URS交二審]]+7)</f>
        <v>44477</v>
      </c>
      <c r="AD40" s="283">
        <f>IF(功能_33[[#This Row],[URS交二審]]=0,"",功能_33[[#This Row],[URS交二審]]+7)</f>
        <v>44477</v>
      </c>
      <c r="AE40" s="283">
        <v>44539</v>
      </c>
      <c r="AF40" s="283" t="s">
        <v>182</v>
      </c>
      <c r="AG40" s="283"/>
      <c r="AH40" s="334"/>
      <c r="AI40" s="283">
        <f>IFERROR(IF(VLOOKUP(功能_33[[#This Row],[功能代號]],E:S,11,FALSE)=0,"",VLOOKUP(功能_33[[#This Row],[功能代號]],E:S,11,FALSE)),"")</f>
        <v>44536</v>
      </c>
      <c r="AJ40" s="283"/>
      <c r="AK40" s="283"/>
      <c r="AL40" s="276"/>
      <c r="AN40" s="275" t="s">
        <v>176</v>
      </c>
      <c r="AQ40" s="507" t="str">
        <f t="shared" si="0"/>
        <v>2-3</v>
      </c>
      <c r="AR40" s="509" t="str">
        <f t="shared" si="1"/>
        <v/>
      </c>
      <c r="AS40" s="511" t="str">
        <f t="shared" si="2"/>
        <v/>
      </c>
      <c r="AT40" s="513" t="str">
        <f t="shared" si="3"/>
        <v/>
      </c>
      <c r="AU40" s="515" t="str">
        <f t="shared" si="4"/>
        <v/>
      </c>
      <c r="AV40" s="517" t="str">
        <f t="shared" si="5"/>
        <v/>
      </c>
      <c r="AW40" s="589" t="str">
        <f>IFERROR(VLOOKUP(功能_33[[#This Row],[功能代號]],SIT_FT!D:D,1,FALSE),"")</f>
        <v>L2021</v>
      </c>
    </row>
    <row r="41" spans="3:49" ht="13.5" hidden="1" x14ac:dyDescent="0.3">
      <c r="C41" s="276" t="s">
        <v>78</v>
      </c>
      <c r="D41" s="276" t="s">
        <v>2506</v>
      </c>
      <c r="E41" s="275" t="s">
        <v>244</v>
      </c>
      <c r="F41" s="276" t="s">
        <v>245</v>
      </c>
      <c r="G41" s="276"/>
      <c r="H41" s="275" t="s">
        <v>179</v>
      </c>
      <c r="I41" s="275" t="s">
        <v>189</v>
      </c>
      <c r="J41" s="218" t="s">
        <v>2603</v>
      </c>
      <c r="K41" s="283">
        <v>44565</v>
      </c>
      <c r="L41" s="283">
        <v>44565</v>
      </c>
      <c r="M41" s="283">
        <v>44431</v>
      </c>
      <c r="N41" s="283">
        <v>44431</v>
      </c>
      <c r="O41" s="283">
        <f>IFERROR(IF(VLOOKUP(功能_33[[#This Row],[功能代號]],討論項目!A:H,8,FALSE)=0,"",VLOOKUP(功能_33[[#This Row],[功能代號]],討論項目!A:H,8,FALSE)),"")</f>
        <v>44456</v>
      </c>
      <c r="P41" s="275" t="s">
        <v>10</v>
      </c>
      <c r="Q41" s="275" t="s">
        <v>13</v>
      </c>
      <c r="R41" s="258" t="s">
        <v>212</v>
      </c>
      <c r="V41" s="275"/>
      <c r="X41" s="275"/>
      <c r="Y41" s="275"/>
      <c r="Z41" s="276" t="str">
        <f>VLOOKUP(功能_33[[#This Row],[User]],SKL放款!A:G,7,FALSE)</f>
        <v>放款推展課</v>
      </c>
      <c r="AA41" s="283">
        <v>44533</v>
      </c>
      <c r="AB41" s="283">
        <v>44470</v>
      </c>
      <c r="AC41" s="283">
        <f>IF(功能_33[[#This Row],[URS交二審]]=0,"",功能_33[[#This Row],[URS交二審]]+7)</f>
        <v>44477</v>
      </c>
      <c r="AD41" s="283">
        <f>IF(功能_33[[#This Row],[URS交二審]]=0,"",功能_33[[#This Row],[URS交二審]]+7)</f>
        <v>44477</v>
      </c>
      <c r="AE41" s="283">
        <v>44539</v>
      </c>
      <c r="AF41" s="283" t="s">
        <v>182</v>
      </c>
      <c r="AG41" s="283"/>
      <c r="AH41" s="334"/>
      <c r="AI41" s="283">
        <f>IFERROR(IF(VLOOKUP(功能_33[[#This Row],[功能代號]],E:S,11,FALSE)=0,"",VLOOKUP(功能_33[[#This Row],[功能代號]],E:S,11,FALSE)),"")</f>
        <v>44456</v>
      </c>
      <c r="AJ41" s="283"/>
      <c r="AK41" s="283"/>
      <c r="AL41" s="276"/>
      <c r="AN41" s="275" t="s">
        <v>176</v>
      </c>
      <c r="AQ41" s="507" t="str">
        <f t="shared" si="0"/>
        <v>2-3</v>
      </c>
      <c r="AR41" s="509" t="str">
        <f t="shared" si="1"/>
        <v/>
      </c>
      <c r="AS41" s="511" t="str">
        <f t="shared" si="2"/>
        <v/>
      </c>
      <c r="AT41" s="513" t="str">
        <f t="shared" si="3"/>
        <v/>
      </c>
      <c r="AU41" s="515" t="str">
        <f t="shared" si="4"/>
        <v/>
      </c>
      <c r="AV41" s="517" t="str">
        <f t="shared" si="5"/>
        <v/>
      </c>
      <c r="AW41" s="589" t="str">
        <f>IFERROR(VLOOKUP(功能_33[[#This Row],[功能代號]],SIT_FT!D:D,1,FALSE),"")</f>
        <v>L2221</v>
      </c>
    </row>
    <row r="42" spans="3:49" ht="13.5" hidden="1" x14ac:dyDescent="0.3">
      <c r="C42" s="276" t="s">
        <v>78</v>
      </c>
      <c r="D42" s="276" t="s">
        <v>2496</v>
      </c>
      <c r="E42" s="275" t="s">
        <v>247</v>
      </c>
      <c r="F42" s="276" t="s">
        <v>248</v>
      </c>
      <c r="G42" s="276"/>
      <c r="H42" s="275" t="s">
        <v>179</v>
      </c>
      <c r="I42" s="275" t="s">
        <v>189</v>
      </c>
      <c r="J42" s="218" t="s">
        <v>2775</v>
      </c>
      <c r="K42" s="283">
        <v>44558</v>
      </c>
      <c r="L42" s="283">
        <v>44558</v>
      </c>
      <c r="M42" s="283">
        <v>44431</v>
      </c>
      <c r="N42" s="283">
        <v>44432</v>
      </c>
      <c r="O42" s="283">
        <f>IFERROR(IF(VLOOKUP(功能_33[[#This Row],[功能代號]],討論項目!A:H,8,FALSE)=0,"",VLOOKUP(功能_33[[#This Row],[功能代號]],討論項目!A:H,8,FALSE)),"")</f>
        <v>44434</v>
      </c>
      <c r="P42" s="275" t="s">
        <v>10</v>
      </c>
      <c r="Q42" s="275" t="s">
        <v>13</v>
      </c>
      <c r="R42" s="258" t="s">
        <v>212</v>
      </c>
      <c r="V42" s="275"/>
      <c r="X42" s="275"/>
      <c r="Y42" s="275"/>
      <c r="Z42" s="276" t="str">
        <f>VLOOKUP(功能_33[[#This Row],[User]],SKL放款!A:G,7,FALSE)</f>
        <v>放款推展課</v>
      </c>
      <c r="AA42" s="283">
        <v>44533</v>
      </c>
      <c r="AB42" s="283">
        <v>44533</v>
      </c>
      <c r="AC42" s="283">
        <v>44543</v>
      </c>
      <c r="AD42" s="283">
        <v>44543</v>
      </c>
      <c r="AE42" s="283">
        <v>44544</v>
      </c>
      <c r="AF42" s="283"/>
      <c r="AG42" s="283"/>
      <c r="AH42" s="334"/>
      <c r="AI42" s="283">
        <f>IFERROR(IF(VLOOKUP(功能_33[[#This Row],[功能代號]],E:S,11,FALSE)=0,"",VLOOKUP(功能_33[[#This Row],[功能代號]],E:S,11,FALSE)),"")</f>
        <v>44434</v>
      </c>
      <c r="AJ42" s="283"/>
      <c r="AK42" s="283"/>
      <c r="AL42" s="276"/>
      <c r="AN42" s="275" t="s">
        <v>176</v>
      </c>
      <c r="AQ42" s="507" t="str">
        <f t="shared" si="0"/>
        <v>2-4</v>
      </c>
      <c r="AR42" s="509" t="str">
        <f t="shared" si="1"/>
        <v/>
      </c>
      <c r="AS42" s="511" t="str">
        <f t="shared" si="2"/>
        <v/>
      </c>
      <c r="AT42" s="513" t="str">
        <f t="shared" si="3"/>
        <v/>
      </c>
      <c r="AU42" s="515" t="str">
        <f t="shared" si="4"/>
        <v/>
      </c>
      <c r="AV42" s="517" t="str">
        <f t="shared" si="5"/>
        <v/>
      </c>
      <c r="AW42" s="589" t="str">
        <f>IFERROR(VLOOKUP(功能_33[[#This Row],[功能代號]],SIT_FT!D:D,1,FALSE),"")</f>
        <v>L2038</v>
      </c>
    </row>
    <row r="43" spans="3:49" ht="13.5" hidden="1" x14ac:dyDescent="0.3">
      <c r="C43" s="276" t="s">
        <v>78</v>
      </c>
      <c r="D43" s="276" t="s">
        <v>2496</v>
      </c>
      <c r="E43" s="275" t="s">
        <v>249</v>
      </c>
      <c r="F43" s="276" t="s">
        <v>250</v>
      </c>
      <c r="G43" s="276"/>
      <c r="H43" s="275" t="s">
        <v>179</v>
      </c>
      <c r="I43" s="275" t="s">
        <v>189</v>
      </c>
      <c r="J43" s="218" t="s">
        <v>2775</v>
      </c>
      <c r="K43" s="283">
        <v>44558</v>
      </c>
      <c r="L43" s="283">
        <v>44558</v>
      </c>
      <c r="M43" s="283">
        <v>44432</v>
      </c>
      <c r="N43" s="283">
        <v>44432</v>
      </c>
      <c r="O43" s="283">
        <f>IFERROR(IF(VLOOKUP(功能_33[[#This Row],[功能代號]],討論項目!A:H,8,FALSE)=0,"",VLOOKUP(功能_33[[#This Row],[功能代號]],討論項目!A:H,8,FALSE)),"")</f>
        <v>44447</v>
      </c>
      <c r="P43" s="275" t="s">
        <v>10</v>
      </c>
      <c r="Q43" s="275" t="s">
        <v>13</v>
      </c>
      <c r="R43" s="258" t="s">
        <v>251</v>
      </c>
      <c r="V43" s="275"/>
      <c r="X43" s="275"/>
      <c r="Y43" s="275"/>
      <c r="Z43" s="276" t="str">
        <f>VLOOKUP(功能_33[[#This Row],[User]],SKL放款!A:G,7,FALSE)</f>
        <v>放款推展課</v>
      </c>
      <c r="AA43" s="283">
        <v>44533</v>
      </c>
      <c r="AB43" s="283">
        <v>44533</v>
      </c>
      <c r="AC43" s="283">
        <v>44543</v>
      </c>
      <c r="AD43" s="283">
        <v>44543</v>
      </c>
      <c r="AE43" s="283">
        <v>44544</v>
      </c>
      <c r="AF43" s="283"/>
      <c r="AG43" s="283"/>
      <c r="AH43" s="334"/>
      <c r="AI43" s="283">
        <f>IFERROR(IF(VLOOKUP(功能_33[[#This Row],[功能代號]],E:S,11,FALSE)=0,"",VLOOKUP(功能_33[[#This Row],[功能代號]],E:S,11,FALSE)),"")</f>
        <v>44447</v>
      </c>
      <c r="AJ43" s="283"/>
      <c r="AK43" s="283"/>
      <c r="AL43" s="276"/>
      <c r="AN43" s="275" t="s">
        <v>252</v>
      </c>
      <c r="AO43" s="286" t="s">
        <v>253</v>
      </c>
      <c r="AQ43" s="507" t="str">
        <f t="shared" si="0"/>
        <v>2-4</v>
      </c>
      <c r="AR43" s="509" t="str">
        <f t="shared" si="1"/>
        <v/>
      </c>
      <c r="AS43" s="511" t="str">
        <f t="shared" si="2"/>
        <v/>
      </c>
      <c r="AT43" s="513" t="str">
        <f t="shared" si="3"/>
        <v/>
      </c>
      <c r="AU43" s="515" t="str">
        <f t="shared" si="4"/>
        <v/>
      </c>
      <c r="AV43" s="517" t="str">
        <f t="shared" si="5"/>
        <v/>
      </c>
      <c r="AW43" s="589" t="str">
        <f>IFERROR(VLOOKUP(功能_33[[#This Row],[功能代號]],SIT_FT!D:D,1,FALSE),"")</f>
        <v>L2411</v>
      </c>
    </row>
    <row r="44" spans="3:49" ht="13.5" hidden="1" x14ac:dyDescent="0.3">
      <c r="C44" s="276" t="s">
        <v>78</v>
      </c>
      <c r="D44" s="276" t="s">
        <v>2496</v>
      </c>
      <c r="E44" s="275" t="s">
        <v>254</v>
      </c>
      <c r="F44" s="276" t="s">
        <v>255</v>
      </c>
      <c r="G44" s="276"/>
      <c r="H44" s="275" t="s">
        <v>179</v>
      </c>
      <c r="I44" s="275" t="s">
        <v>189</v>
      </c>
      <c r="J44" s="218" t="s">
        <v>2775</v>
      </c>
      <c r="K44" s="283">
        <v>44558</v>
      </c>
      <c r="L44" s="283">
        <v>44558</v>
      </c>
      <c r="M44" s="283">
        <v>44432</v>
      </c>
      <c r="N44" s="283">
        <v>44432</v>
      </c>
      <c r="O44" s="283">
        <f>IFERROR(IF(VLOOKUP(功能_33[[#This Row],[功能代號]],討論項目!A:H,8,FALSE)=0,"",VLOOKUP(功能_33[[#This Row],[功能代號]],討論項目!A:H,8,FALSE)),"")</f>
        <v>44445</v>
      </c>
      <c r="P44" s="275" t="s">
        <v>10</v>
      </c>
      <c r="Q44" s="275" t="s">
        <v>13</v>
      </c>
      <c r="R44" s="258" t="s">
        <v>212</v>
      </c>
      <c r="V44" s="275"/>
      <c r="X44" s="275"/>
      <c r="Y44" s="275"/>
      <c r="Z44" s="276" t="str">
        <f>VLOOKUP(功能_33[[#This Row],[User]],SKL放款!A:G,7,FALSE)</f>
        <v>放款推展課</v>
      </c>
      <c r="AA44" s="283">
        <v>44533</v>
      </c>
      <c r="AB44" s="283">
        <v>44533</v>
      </c>
      <c r="AC44" s="283">
        <v>44543</v>
      </c>
      <c r="AD44" s="283">
        <v>44543</v>
      </c>
      <c r="AE44" s="283">
        <v>44544</v>
      </c>
      <c r="AF44" s="283"/>
      <c r="AG44" s="283"/>
      <c r="AH44" s="334"/>
      <c r="AI44" s="283">
        <f>IFERROR(IF(VLOOKUP(功能_33[[#This Row],[功能代號]],E:S,11,FALSE)=0,"",VLOOKUP(功能_33[[#This Row],[功能代號]],E:S,11,FALSE)),"")</f>
        <v>44445</v>
      </c>
      <c r="AJ44" s="283"/>
      <c r="AK44" s="283"/>
      <c r="AL44" s="276"/>
      <c r="AM44" s="217">
        <v>44494</v>
      </c>
      <c r="AN44" s="275" t="s">
        <v>252</v>
      </c>
      <c r="AO44" s="276" t="s">
        <v>256</v>
      </c>
      <c r="AQ44" s="507" t="str">
        <f t="shared" si="0"/>
        <v>2-4</v>
      </c>
      <c r="AR44" s="509" t="str">
        <f t="shared" si="1"/>
        <v/>
      </c>
      <c r="AS44" s="511" t="str">
        <f t="shared" si="2"/>
        <v/>
      </c>
      <c r="AT44" s="513" t="str">
        <f t="shared" si="3"/>
        <v/>
      </c>
      <c r="AU44" s="515" t="str">
        <f t="shared" si="4"/>
        <v/>
      </c>
      <c r="AV44" s="517" t="str">
        <f t="shared" si="5"/>
        <v/>
      </c>
      <c r="AW44" s="589" t="str">
        <f>IFERROR(VLOOKUP(功能_33[[#This Row],[功能代號]],SIT_FT!D:D,1,FALSE),"")</f>
        <v>L2911</v>
      </c>
    </row>
    <row r="45" spans="3:49" ht="13.5" hidden="1" x14ac:dyDescent="0.3">
      <c r="C45" s="276" t="s">
        <v>78</v>
      </c>
      <c r="D45" s="276" t="s">
        <v>2496</v>
      </c>
      <c r="E45" s="275" t="s">
        <v>257</v>
      </c>
      <c r="F45" s="276" t="s">
        <v>258</v>
      </c>
      <c r="G45" s="276"/>
      <c r="H45" s="275" t="s">
        <v>179</v>
      </c>
      <c r="I45" s="275" t="s">
        <v>189</v>
      </c>
      <c r="J45" s="218" t="s">
        <v>2775</v>
      </c>
      <c r="K45" s="283">
        <v>44558</v>
      </c>
      <c r="L45" s="283">
        <v>44558</v>
      </c>
      <c r="M45" s="283">
        <v>44432</v>
      </c>
      <c r="N45" s="283">
        <v>44432</v>
      </c>
      <c r="O45" s="283">
        <f>IFERROR(IF(VLOOKUP(功能_33[[#This Row],[功能代號]],討論項目!A:H,8,FALSE)=0,"",VLOOKUP(功能_33[[#This Row],[功能代號]],討論項目!A:H,8,FALSE)),"")</f>
        <v>44445</v>
      </c>
      <c r="P45" s="275" t="s">
        <v>10</v>
      </c>
      <c r="Q45" s="275" t="s">
        <v>13</v>
      </c>
      <c r="R45" s="258" t="s">
        <v>212</v>
      </c>
      <c r="V45" s="275"/>
      <c r="X45" s="275"/>
      <c r="Y45" s="275"/>
      <c r="Z45" s="276" t="str">
        <f>VLOOKUP(功能_33[[#This Row],[User]],SKL放款!A:G,7,FALSE)</f>
        <v>放款推展課</v>
      </c>
      <c r="AA45" s="283">
        <v>44533</v>
      </c>
      <c r="AB45" s="283">
        <v>44533</v>
      </c>
      <c r="AC45" s="283">
        <v>44543</v>
      </c>
      <c r="AD45" s="283">
        <v>44543</v>
      </c>
      <c r="AE45" s="283">
        <v>44544</v>
      </c>
      <c r="AF45" s="283"/>
      <c r="AG45" s="283"/>
      <c r="AH45" s="334"/>
      <c r="AI45" s="283">
        <f>IFERROR(IF(VLOOKUP(功能_33[[#This Row],[功能代號]],E:S,11,FALSE)=0,"",VLOOKUP(功能_33[[#This Row],[功能代號]],E:S,11,FALSE)),"")</f>
        <v>44445</v>
      </c>
      <c r="AJ45" s="283"/>
      <c r="AK45" s="283"/>
      <c r="AL45" s="276"/>
      <c r="AN45" s="275" t="s">
        <v>176</v>
      </c>
      <c r="AO45" s="286"/>
      <c r="AQ45" s="507" t="str">
        <f t="shared" si="0"/>
        <v>2-4</v>
      </c>
      <c r="AR45" s="509" t="str">
        <f t="shared" si="1"/>
        <v/>
      </c>
      <c r="AS45" s="511" t="str">
        <f t="shared" si="2"/>
        <v/>
      </c>
      <c r="AT45" s="513" t="str">
        <f t="shared" si="3"/>
        <v/>
      </c>
      <c r="AU45" s="515" t="str">
        <f t="shared" si="4"/>
        <v/>
      </c>
      <c r="AV45" s="517" t="str">
        <f t="shared" si="5"/>
        <v/>
      </c>
      <c r="AW45" s="589" t="str">
        <f>IFERROR(VLOOKUP(功能_33[[#This Row],[功能代號]],SIT_FT!D:D,1,FALSE),"")</f>
        <v>L2415</v>
      </c>
    </row>
    <row r="46" spans="3:49" ht="13.5" hidden="1" x14ac:dyDescent="0.3">
      <c r="C46" s="276" t="s">
        <v>78</v>
      </c>
      <c r="D46" s="276" t="s">
        <v>2496</v>
      </c>
      <c r="E46" s="275" t="s">
        <v>259</v>
      </c>
      <c r="F46" s="276" t="s">
        <v>260</v>
      </c>
      <c r="G46" s="276"/>
      <c r="H46" s="275" t="s">
        <v>179</v>
      </c>
      <c r="I46" s="275" t="s">
        <v>189</v>
      </c>
      <c r="J46" s="218" t="s">
        <v>2775</v>
      </c>
      <c r="K46" s="283">
        <v>44558</v>
      </c>
      <c r="L46" s="283">
        <v>44558</v>
      </c>
      <c r="M46" s="283">
        <v>44432</v>
      </c>
      <c r="N46" s="283">
        <v>44432</v>
      </c>
      <c r="O46" s="283">
        <v>44536</v>
      </c>
      <c r="P46" s="275" t="s">
        <v>10</v>
      </c>
      <c r="Q46" s="275" t="s">
        <v>13</v>
      </c>
      <c r="R46" s="258" t="s">
        <v>212</v>
      </c>
      <c r="V46" s="275"/>
      <c r="X46" s="275"/>
      <c r="Y46" s="275"/>
      <c r="Z46" s="276" t="str">
        <f>VLOOKUP(功能_33[[#This Row],[User]],SKL放款!A:G,7,FALSE)</f>
        <v>放款推展課</v>
      </c>
      <c r="AA46" s="283">
        <v>44533</v>
      </c>
      <c r="AB46" s="283">
        <v>44477</v>
      </c>
      <c r="AC46" s="283">
        <v>44477</v>
      </c>
      <c r="AD46" s="283">
        <v>44477</v>
      </c>
      <c r="AE46" s="283">
        <v>44544</v>
      </c>
      <c r="AF46" s="283" t="s">
        <v>182</v>
      </c>
      <c r="AG46" s="283"/>
      <c r="AH46" s="334"/>
      <c r="AI46" s="283">
        <f>IFERROR(IF(VLOOKUP(功能_33[[#This Row],[功能代號]],E:S,11,FALSE)=0,"",VLOOKUP(功能_33[[#This Row],[功能代號]],E:S,11,FALSE)),"")</f>
        <v>44536</v>
      </c>
      <c r="AJ46" s="283"/>
      <c r="AK46" s="283"/>
      <c r="AL46" s="276"/>
      <c r="AN46" s="275" t="s">
        <v>252</v>
      </c>
      <c r="AO46" s="276" t="s">
        <v>256</v>
      </c>
      <c r="AQ46" s="507" t="str">
        <f t="shared" si="0"/>
        <v>2-4</v>
      </c>
      <c r="AR46" s="509" t="str">
        <f t="shared" si="1"/>
        <v/>
      </c>
      <c r="AS46" s="511" t="str">
        <f t="shared" si="2"/>
        <v/>
      </c>
      <c r="AT46" s="513" t="str">
        <f t="shared" si="3"/>
        <v/>
      </c>
      <c r="AU46" s="515" t="str">
        <f t="shared" si="4"/>
        <v/>
      </c>
      <c r="AV46" s="517" t="str">
        <f t="shared" si="5"/>
        <v/>
      </c>
      <c r="AW46" s="589" t="str">
        <f>IFERROR(VLOOKUP(功能_33[[#This Row],[功能代號]],SIT_FT!D:D,1,FALSE),"")</f>
        <v>L2416</v>
      </c>
    </row>
    <row r="47" spans="3:49" ht="13.5" hidden="1" x14ac:dyDescent="0.3">
      <c r="C47" s="276" t="s">
        <v>78</v>
      </c>
      <c r="D47" s="276" t="s">
        <v>2496</v>
      </c>
      <c r="E47" s="275" t="s">
        <v>261</v>
      </c>
      <c r="F47" s="276" t="s">
        <v>262</v>
      </c>
      <c r="G47" s="276"/>
      <c r="H47" s="275" t="s">
        <v>179</v>
      </c>
      <c r="I47" s="275" t="s">
        <v>189</v>
      </c>
      <c r="J47" s="218" t="s">
        <v>2775</v>
      </c>
      <c r="K47" s="283">
        <v>44558</v>
      </c>
      <c r="L47" s="283">
        <v>44558</v>
      </c>
      <c r="M47" s="283">
        <v>44432</v>
      </c>
      <c r="N47" s="283">
        <v>44432</v>
      </c>
      <c r="O47" s="283">
        <v>44536</v>
      </c>
      <c r="P47" s="275" t="s">
        <v>10</v>
      </c>
      <c r="Q47" s="275" t="s">
        <v>158</v>
      </c>
      <c r="R47" s="258" t="s">
        <v>212</v>
      </c>
      <c r="V47" s="275"/>
      <c r="X47" s="275"/>
      <c r="Y47" s="275"/>
      <c r="Z47" s="276" t="str">
        <f>VLOOKUP(功能_33[[#This Row],[User]],SKL放款!A:G,7,FALSE)</f>
        <v>放款服務課</v>
      </c>
      <c r="AA47" s="283">
        <v>44533</v>
      </c>
      <c r="AB47" s="283" t="s">
        <v>181</v>
      </c>
      <c r="AC47" s="283">
        <v>44477</v>
      </c>
      <c r="AD47" s="283">
        <v>44477</v>
      </c>
      <c r="AE47" s="283">
        <v>44544</v>
      </c>
      <c r="AF47" s="283" t="s">
        <v>182</v>
      </c>
      <c r="AG47" s="283"/>
      <c r="AH47" s="334"/>
      <c r="AI47" s="283">
        <f>IFERROR(IF(VLOOKUP(功能_33[[#This Row],[功能代號]],E:S,11,FALSE)=0,"",VLOOKUP(功能_33[[#This Row],[功能代號]],E:S,11,FALSE)),"")</f>
        <v>44536</v>
      </c>
      <c r="AJ47" s="283"/>
      <c r="AK47" s="283"/>
      <c r="AL47" s="276"/>
      <c r="AN47" s="275" t="s">
        <v>252</v>
      </c>
      <c r="AO47" s="286" t="s">
        <v>263</v>
      </c>
      <c r="AQ47" s="507" t="str">
        <f t="shared" si="0"/>
        <v>2-4</v>
      </c>
      <c r="AR47" s="509" t="str">
        <f t="shared" si="1"/>
        <v/>
      </c>
      <c r="AS47" s="511" t="str">
        <f t="shared" si="2"/>
        <v/>
      </c>
      <c r="AT47" s="513" t="str">
        <f t="shared" si="3"/>
        <v/>
      </c>
      <c r="AU47" s="515" t="str">
        <f t="shared" si="4"/>
        <v/>
      </c>
      <c r="AV47" s="517" t="str">
        <f t="shared" si="5"/>
        <v/>
      </c>
      <c r="AW47" s="589" t="str">
        <f>IFERROR(VLOOKUP(功能_33[[#This Row],[功能代號]],SIT_FT!D:D,1,FALSE),"")</f>
        <v>L2915</v>
      </c>
    </row>
    <row r="48" spans="3:49" ht="13.5" hidden="1" x14ac:dyDescent="0.3">
      <c r="C48" s="276" t="s">
        <v>78</v>
      </c>
      <c r="D48" s="276" t="s">
        <v>2496</v>
      </c>
      <c r="E48" s="275" t="s">
        <v>264</v>
      </c>
      <c r="F48" s="276" t="s">
        <v>265</v>
      </c>
      <c r="G48" s="276"/>
      <c r="H48" s="275" t="s">
        <v>179</v>
      </c>
      <c r="I48" s="275" t="s">
        <v>189</v>
      </c>
      <c r="J48" s="218" t="s">
        <v>2775</v>
      </c>
      <c r="K48" s="283">
        <v>44558</v>
      </c>
      <c r="L48" s="283">
        <v>44558</v>
      </c>
      <c r="M48" s="283">
        <v>44432</v>
      </c>
      <c r="N48" s="283">
        <v>44432</v>
      </c>
      <c r="O48" s="283">
        <v>44536</v>
      </c>
      <c r="P48" s="275" t="s">
        <v>10</v>
      </c>
      <c r="Q48" s="275" t="s">
        <v>158</v>
      </c>
      <c r="R48" s="258" t="s">
        <v>212</v>
      </c>
      <c r="V48" s="275"/>
      <c r="X48" s="275"/>
      <c r="Y48" s="275"/>
      <c r="Z48" s="276" t="str">
        <f>VLOOKUP(功能_33[[#This Row],[User]],SKL放款!A:G,7,FALSE)</f>
        <v>放款服務課</v>
      </c>
      <c r="AA48" s="283">
        <v>44533</v>
      </c>
      <c r="AB48" s="283" t="s">
        <v>181</v>
      </c>
      <c r="AC48" s="283">
        <v>44477</v>
      </c>
      <c r="AD48" s="283">
        <v>44477</v>
      </c>
      <c r="AE48" s="283">
        <v>44544</v>
      </c>
      <c r="AF48" s="283" t="s">
        <v>182</v>
      </c>
      <c r="AG48" s="283"/>
      <c r="AH48" s="334"/>
      <c r="AI48" s="283">
        <f>IFERROR(IF(VLOOKUP(功能_33[[#This Row],[功能代號]],E:S,11,FALSE)=0,"",VLOOKUP(功能_33[[#This Row],[功能代號]],E:S,11,FALSE)),"")</f>
        <v>44536</v>
      </c>
      <c r="AJ48" s="283"/>
      <c r="AK48" s="283"/>
      <c r="AL48" s="276"/>
      <c r="AN48" s="275" t="s">
        <v>176</v>
      </c>
      <c r="AQ48" s="507" t="str">
        <f t="shared" si="0"/>
        <v>2-4</v>
      </c>
      <c r="AR48" s="509" t="str">
        <f t="shared" si="1"/>
        <v/>
      </c>
      <c r="AS48" s="511" t="str">
        <f t="shared" si="2"/>
        <v/>
      </c>
      <c r="AT48" s="513" t="str">
        <f t="shared" si="3"/>
        <v/>
      </c>
      <c r="AU48" s="515" t="str">
        <f t="shared" si="4"/>
        <v/>
      </c>
      <c r="AV48" s="517" t="str">
        <f t="shared" si="5"/>
        <v/>
      </c>
      <c r="AW48" s="589" t="str">
        <f>IFERROR(VLOOKUP(功能_33[[#This Row],[功能代號]],SIT_FT!D:D,1,FALSE),"")</f>
        <v>L2916</v>
      </c>
    </row>
    <row r="49" spans="2:49" ht="13.5" hidden="1" x14ac:dyDescent="0.3">
      <c r="C49" s="276" t="s">
        <v>78</v>
      </c>
      <c r="D49" s="276" t="s">
        <v>2496</v>
      </c>
      <c r="E49" s="275" t="s">
        <v>266</v>
      </c>
      <c r="F49" s="276" t="s">
        <v>267</v>
      </c>
      <c r="G49" s="276"/>
      <c r="H49" s="275" t="s">
        <v>179</v>
      </c>
      <c r="I49" s="275" t="s">
        <v>180</v>
      </c>
      <c r="J49" s="218" t="s">
        <v>2775</v>
      </c>
      <c r="K49" s="283">
        <v>44558</v>
      </c>
      <c r="L49" s="283">
        <v>44558</v>
      </c>
      <c r="M49" s="283">
        <v>44433</v>
      </c>
      <c r="N49" s="283">
        <v>44433</v>
      </c>
      <c r="O49" s="283">
        <v>44533</v>
      </c>
      <c r="P49" s="275" t="s">
        <v>10</v>
      </c>
      <c r="Q49" s="275" t="s">
        <v>18</v>
      </c>
      <c r="R49" s="258" t="s">
        <v>212</v>
      </c>
      <c r="V49" s="275"/>
      <c r="X49" s="275"/>
      <c r="Y49" s="275"/>
      <c r="Z49" s="276" t="str">
        <f>VLOOKUP(功能_33[[#This Row],[User]],SKL放款!A:G,7,FALSE)</f>
        <v>放款服務課</v>
      </c>
      <c r="AA49" s="283">
        <v>44533</v>
      </c>
      <c r="AB49" s="283">
        <v>44470</v>
      </c>
      <c r="AC49" s="283">
        <f>IF(功能_33[[#This Row],[URS交二審]]=0,"",功能_33[[#This Row],[URS交二審]]+7)</f>
        <v>44477</v>
      </c>
      <c r="AD49" s="283">
        <f>IF(功能_33[[#This Row],[URS交二審]]=0,"",功能_33[[#This Row],[URS交二審]]+7)</f>
        <v>44477</v>
      </c>
      <c r="AE49" s="283">
        <v>44544</v>
      </c>
      <c r="AF49" s="283" t="s">
        <v>182</v>
      </c>
      <c r="AG49" s="283"/>
      <c r="AH49" s="334"/>
      <c r="AI49" s="283">
        <f>IFERROR(IF(VLOOKUP(功能_33[[#This Row],[功能代號]],E:S,11,FALSE)=0,"",VLOOKUP(功能_33[[#This Row],[功能代號]],E:S,11,FALSE)),"")</f>
        <v>44533</v>
      </c>
      <c r="AJ49" s="283"/>
      <c r="AK49" s="283"/>
      <c r="AL49" s="276"/>
      <c r="AN49" s="275" t="s">
        <v>176</v>
      </c>
      <c r="AO49" s="275" t="s">
        <v>176</v>
      </c>
      <c r="AQ49" s="507" t="str">
        <f t="shared" si="0"/>
        <v>2-4</v>
      </c>
      <c r="AR49" s="509" t="str">
        <f t="shared" si="1"/>
        <v/>
      </c>
      <c r="AS49" s="511" t="str">
        <f t="shared" si="2"/>
        <v/>
      </c>
      <c r="AT49" s="513" t="str">
        <f t="shared" si="3"/>
        <v/>
      </c>
      <c r="AU49" s="515" t="str">
        <f t="shared" si="4"/>
        <v/>
      </c>
      <c r="AV49" s="517" t="str">
        <f t="shared" si="5"/>
        <v/>
      </c>
      <c r="AW49" s="589" t="str">
        <f>IFERROR(VLOOKUP(功能_33[[#This Row],[功能代號]],SIT_FT!D:D,1,FALSE),"")</f>
        <v>L2918</v>
      </c>
    </row>
    <row r="50" spans="2:49" ht="13.5" hidden="1" x14ac:dyDescent="0.3">
      <c r="C50" s="276" t="s">
        <v>78</v>
      </c>
      <c r="D50" s="276" t="s">
        <v>2496</v>
      </c>
      <c r="E50" s="275" t="s">
        <v>268</v>
      </c>
      <c r="F50" s="276" t="s">
        <v>269</v>
      </c>
      <c r="G50" s="276"/>
      <c r="H50" s="275" t="s">
        <v>179</v>
      </c>
      <c r="I50" s="275" t="s">
        <v>180</v>
      </c>
      <c r="J50" s="218" t="s">
        <v>2775</v>
      </c>
      <c r="K50" s="283">
        <v>44558</v>
      </c>
      <c r="L50" s="283">
        <v>44558</v>
      </c>
      <c r="M50" s="283">
        <v>44433</v>
      </c>
      <c r="N50" s="283">
        <v>44433</v>
      </c>
      <c r="O50" s="283">
        <v>44537</v>
      </c>
      <c r="P50" s="275" t="s">
        <v>10</v>
      </c>
      <c r="Q50" s="275" t="s">
        <v>13</v>
      </c>
      <c r="R50" s="258" t="s">
        <v>212</v>
      </c>
      <c r="V50" s="275"/>
      <c r="X50" s="275"/>
      <c r="Y50" s="275"/>
      <c r="Z50" s="276" t="str">
        <f>VLOOKUP(功能_33[[#This Row],[User]],SKL放款!A:G,7,FALSE)</f>
        <v>放款推展課</v>
      </c>
      <c r="AA50" s="283">
        <v>44533</v>
      </c>
      <c r="AB50" s="283">
        <v>44477</v>
      </c>
      <c r="AC50" s="283">
        <v>44477</v>
      </c>
      <c r="AD50" s="283">
        <v>44477</v>
      </c>
      <c r="AE50" s="283">
        <v>44544</v>
      </c>
      <c r="AF50" s="283" t="s">
        <v>182</v>
      </c>
      <c r="AG50" s="283"/>
      <c r="AH50" s="334"/>
      <c r="AI50" s="283">
        <f>IFERROR(IF(VLOOKUP(功能_33[[#This Row],[功能代號]],E:S,11,FALSE)=0,"",VLOOKUP(功能_33[[#This Row],[功能代號]],E:S,11,FALSE)),"")</f>
        <v>44537</v>
      </c>
      <c r="AJ50" s="283"/>
      <c r="AK50" s="283"/>
      <c r="AL50" s="276"/>
      <c r="AM50" s="217">
        <v>44498</v>
      </c>
      <c r="AN50" s="275" t="s">
        <v>176</v>
      </c>
      <c r="AO50" s="275" t="s">
        <v>176</v>
      </c>
      <c r="AQ50" s="507" t="str">
        <f t="shared" si="0"/>
        <v>2-4</v>
      </c>
      <c r="AR50" s="509" t="str">
        <f t="shared" si="1"/>
        <v/>
      </c>
      <c r="AS50" s="511" t="str">
        <f t="shared" si="2"/>
        <v/>
      </c>
      <c r="AT50" s="513" t="str">
        <f t="shared" si="3"/>
        <v/>
      </c>
      <c r="AU50" s="515" t="str">
        <f t="shared" si="4"/>
        <v/>
      </c>
      <c r="AV50" s="517" t="str">
        <f t="shared" si="5"/>
        <v/>
      </c>
      <c r="AW50" s="589" t="str">
        <f>IFERROR(VLOOKUP(功能_33[[#This Row],[功能代號]],SIT_FT!D:D,1,FALSE),"")</f>
        <v>L2418</v>
      </c>
    </row>
    <row r="51" spans="2:49" ht="13.5" hidden="1" x14ac:dyDescent="0.3">
      <c r="C51" s="276" t="s">
        <v>82</v>
      </c>
      <c r="D51" s="276" t="s">
        <v>2482</v>
      </c>
      <c r="E51" s="275" t="s">
        <v>2706</v>
      </c>
      <c r="F51" s="276" t="s">
        <v>2709</v>
      </c>
      <c r="G51" s="276" t="s">
        <v>2710</v>
      </c>
      <c r="H51" s="275" t="s">
        <v>179</v>
      </c>
      <c r="I51" s="275" t="s">
        <v>180</v>
      </c>
      <c r="J51" s="218" t="s">
        <v>2875</v>
      </c>
      <c r="K51" s="283">
        <v>44571</v>
      </c>
      <c r="L51" s="275"/>
      <c r="M51" s="283">
        <v>44433</v>
      </c>
      <c r="N51" s="283">
        <v>44433</v>
      </c>
      <c r="O51" s="283">
        <v>44539</v>
      </c>
      <c r="P51" s="275" t="s">
        <v>10</v>
      </c>
      <c r="Q51" s="275" t="s">
        <v>11</v>
      </c>
      <c r="V51" s="275"/>
      <c r="X51" s="275"/>
      <c r="Y51" s="275"/>
      <c r="Z51" s="276" t="str">
        <f>VLOOKUP(功能_33[[#This Row],[User]],SKL放款!A:G,7,FALSE)</f>
        <v>放款服務課</v>
      </c>
      <c r="AA51" s="283">
        <v>44539</v>
      </c>
      <c r="AB51" s="283" t="s">
        <v>332</v>
      </c>
      <c r="AC51" s="268">
        <v>44544</v>
      </c>
      <c r="AD51" s="269">
        <v>44544</v>
      </c>
      <c r="AE51" s="283">
        <v>44550</v>
      </c>
      <c r="AF51" s="269"/>
      <c r="AG51" s="269"/>
      <c r="AH51" s="269"/>
      <c r="AI51" s="269">
        <f>IFERROR(IF(VLOOKUP(功能_33[[#This Row],[功能代號]],E:S,11,FALSE)=0,"",VLOOKUP(功能_33[[#This Row],[功能代號]],E:S,11,FALSE)),"")</f>
        <v>44539</v>
      </c>
      <c r="AJ51" s="269"/>
      <c r="AK51" s="269"/>
      <c r="AL51" s="276"/>
      <c r="AN51" s="275" t="s">
        <v>176</v>
      </c>
      <c r="AO51" s="275" t="s">
        <v>176</v>
      </c>
      <c r="AQ51" s="507" t="str">
        <f t="shared" si="0"/>
        <v>6-6</v>
      </c>
      <c r="AR51" s="509" t="str">
        <f t="shared" si="1"/>
        <v/>
      </c>
      <c r="AS51" s="511" t="str">
        <f t="shared" si="2"/>
        <v/>
      </c>
      <c r="AT51" s="513" t="str">
        <f t="shared" si="3"/>
        <v/>
      </c>
      <c r="AU51" s="515" t="str">
        <f t="shared" si="4"/>
        <v/>
      </c>
      <c r="AV51" s="517" t="str">
        <f t="shared" si="5"/>
        <v/>
      </c>
      <c r="AW51" s="589" t="str">
        <f>IFERROR(VLOOKUP(功能_33[[#This Row],[功能代號]],SIT_FT!D:D,1,FALSE),"")</f>
        <v>L6023</v>
      </c>
    </row>
    <row r="52" spans="2:49" ht="13.5" hidden="1" x14ac:dyDescent="0.3">
      <c r="C52" s="276" t="s">
        <v>82</v>
      </c>
      <c r="D52" s="276" t="s">
        <v>2482</v>
      </c>
      <c r="E52" s="275" t="s">
        <v>2707</v>
      </c>
      <c r="F52" s="276" t="s">
        <v>2708</v>
      </c>
      <c r="G52" s="276" t="s">
        <v>2710</v>
      </c>
      <c r="H52" s="275" t="s">
        <v>179</v>
      </c>
      <c r="I52" s="275" t="s">
        <v>180</v>
      </c>
      <c r="J52" s="218" t="s">
        <v>2875</v>
      </c>
      <c r="K52" s="283">
        <v>44571</v>
      </c>
      <c r="L52" s="275"/>
      <c r="M52" s="283">
        <v>44433</v>
      </c>
      <c r="N52" s="283">
        <v>44433</v>
      </c>
      <c r="O52" s="283">
        <v>44539</v>
      </c>
      <c r="P52" s="275" t="s">
        <v>10</v>
      </c>
      <c r="Q52" s="275" t="s">
        <v>11</v>
      </c>
      <c r="V52" s="275"/>
      <c r="X52" s="275"/>
      <c r="Y52" s="275"/>
      <c r="Z52" s="276" t="str">
        <f>VLOOKUP(功能_33[[#This Row],[User]],SKL放款!A:G,7,FALSE)</f>
        <v>放款服務課</v>
      </c>
      <c r="AA52" s="283">
        <v>44539</v>
      </c>
      <c r="AB52" s="283" t="s">
        <v>332</v>
      </c>
      <c r="AC52" s="268">
        <v>44544</v>
      </c>
      <c r="AD52" s="269">
        <v>44544</v>
      </c>
      <c r="AE52" s="283">
        <v>44550</v>
      </c>
      <c r="AF52" s="269"/>
      <c r="AG52" s="269"/>
      <c r="AH52" s="269"/>
      <c r="AI52" s="269">
        <f>IFERROR(IF(VLOOKUP(功能_33[[#This Row],[功能代號]],E:S,11,FALSE)=0,"",VLOOKUP(功能_33[[#This Row],[功能代號]],E:S,11,FALSE)),"")</f>
        <v>44539</v>
      </c>
      <c r="AJ52" s="269"/>
      <c r="AK52" s="269"/>
      <c r="AL52" s="276"/>
      <c r="AN52" s="275" t="s">
        <v>176</v>
      </c>
      <c r="AO52" s="275" t="s">
        <v>176</v>
      </c>
      <c r="AQ52" s="507" t="str">
        <f t="shared" si="0"/>
        <v>6-6</v>
      </c>
      <c r="AR52" s="509" t="str">
        <f t="shared" si="1"/>
        <v/>
      </c>
      <c r="AS52" s="511" t="str">
        <f t="shared" si="2"/>
        <v/>
      </c>
      <c r="AT52" s="513" t="str">
        <f t="shared" si="3"/>
        <v/>
      </c>
      <c r="AU52" s="515" t="str">
        <f t="shared" si="4"/>
        <v/>
      </c>
      <c r="AV52" s="517" t="str">
        <f t="shared" si="5"/>
        <v/>
      </c>
      <c r="AW52" s="589" t="str">
        <f>IFERROR(VLOOKUP(功能_33[[#This Row],[功能代號]],SIT_FT!D:D,1,FALSE),"")</f>
        <v>L6203</v>
      </c>
    </row>
    <row r="53" spans="2:49" ht="13.5" hidden="1" x14ac:dyDescent="0.3">
      <c r="C53" s="276" t="s">
        <v>78</v>
      </c>
      <c r="D53" s="276" t="s">
        <v>2496</v>
      </c>
      <c r="E53" s="275" t="s">
        <v>270</v>
      </c>
      <c r="F53" s="276" t="s">
        <v>271</v>
      </c>
      <c r="G53" s="276"/>
      <c r="H53" s="275" t="s">
        <v>179</v>
      </c>
      <c r="I53" s="275" t="s">
        <v>189</v>
      </c>
      <c r="J53" s="218" t="s">
        <v>2775</v>
      </c>
      <c r="K53" s="283">
        <v>44558</v>
      </c>
      <c r="L53" s="283">
        <v>44558</v>
      </c>
      <c r="M53" s="283">
        <v>44433</v>
      </c>
      <c r="N53" s="283">
        <v>44432</v>
      </c>
      <c r="O53" s="283">
        <v>44536</v>
      </c>
      <c r="P53" s="275" t="s">
        <v>10</v>
      </c>
      <c r="Q53" s="275" t="s">
        <v>13</v>
      </c>
      <c r="R53" s="258" t="s">
        <v>212</v>
      </c>
      <c r="V53" s="275"/>
      <c r="X53" s="275"/>
      <c r="Y53" s="275"/>
      <c r="Z53" s="276" t="e">
        <f>VLOOKUP([3]!功能_33[[#This Row],[User]],[3]SKL放款!A:G,7,FALSE)</f>
        <v>#REF!</v>
      </c>
      <c r="AA53" s="283">
        <v>44533</v>
      </c>
      <c r="AB53" s="283">
        <v>44533</v>
      </c>
      <c r="AC53" s="283">
        <v>44543</v>
      </c>
      <c r="AD53" s="283">
        <v>44543</v>
      </c>
      <c r="AE53" s="283">
        <v>44544</v>
      </c>
      <c r="AF53" s="283"/>
      <c r="AG53" s="283"/>
      <c r="AH53" s="334"/>
      <c r="AI53" s="283" t="str">
        <f>IFERROR(IF(VLOOKUP([3]!功能_33[[#This Row],[功能代號]],E:S,11,FALSE)=0,"",VLOOKUP([3]!功能_33[[#This Row],[功能代號]],E:S,11,FALSE)),"")</f>
        <v/>
      </c>
      <c r="AJ53" s="283"/>
      <c r="AK53" s="283"/>
      <c r="AL53" s="276"/>
      <c r="AM53" s="217">
        <v>44494</v>
      </c>
      <c r="AN53" s="275" t="s">
        <v>176</v>
      </c>
      <c r="AQ53" s="507" t="str">
        <f t="shared" si="0"/>
        <v>2-4</v>
      </c>
      <c r="AR53" s="508" t="str">
        <f t="shared" si="1"/>
        <v/>
      </c>
      <c r="AS53" s="510" t="str">
        <f t="shared" si="2"/>
        <v/>
      </c>
      <c r="AT53" s="541" t="str">
        <f t="shared" si="3"/>
        <v/>
      </c>
      <c r="AU53" s="542" t="str">
        <f t="shared" si="4"/>
        <v/>
      </c>
      <c r="AV53" s="253" t="str">
        <f t="shared" si="5"/>
        <v/>
      </c>
      <c r="AW53" s="589" t="str">
        <f>IFERROR(VLOOKUP(功能_33[[#This Row],[功能代號]],SIT_FT!D:D,1,FALSE),"")</f>
        <v>L2017</v>
      </c>
    </row>
    <row r="54" spans="2:49" ht="13.5" hidden="1" x14ac:dyDescent="0.3">
      <c r="C54" s="276" t="s">
        <v>78</v>
      </c>
      <c r="D54" s="276" t="s">
        <v>2496</v>
      </c>
      <c r="E54" s="275" t="s">
        <v>272</v>
      </c>
      <c r="F54" s="276" t="s">
        <v>273</v>
      </c>
      <c r="G54" s="276"/>
      <c r="H54" s="275" t="s">
        <v>179</v>
      </c>
      <c r="I54" s="275" t="s">
        <v>189</v>
      </c>
      <c r="J54" s="218" t="s">
        <v>2775</v>
      </c>
      <c r="K54" s="283">
        <v>44558</v>
      </c>
      <c r="L54" s="283">
        <v>44558</v>
      </c>
      <c r="M54" s="283">
        <v>44433</v>
      </c>
      <c r="N54" s="283">
        <v>44432</v>
      </c>
      <c r="O54" s="283">
        <v>44536</v>
      </c>
      <c r="P54" s="275" t="s">
        <v>10</v>
      </c>
      <c r="Q54" s="275" t="s">
        <v>13</v>
      </c>
      <c r="R54" s="258" t="s">
        <v>212</v>
      </c>
      <c r="V54" s="275"/>
      <c r="X54" s="275"/>
      <c r="Y54" s="275"/>
      <c r="Z54" s="276" t="e">
        <f>VLOOKUP([3]!功能_33[[#This Row],[User]],[3]SKL放款!A:G,7,FALSE)</f>
        <v>#REF!</v>
      </c>
      <c r="AA54" s="283">
        <v>44533</v>
      </c>
      <c r="AB54" s="283">
        <v>44477</v>
      </c>
      <c r="AC54" s="283">
        <v>44477</v>
      </c>
      <c r="AD54" s="283">
        <v>44477</v>
      </c>
      <c r="AE54" s="283">
        <v>44544</v>
      </c>
      <c r="AF54" s="283" t="s">
        <v>182</v>
      </c>
      <c r="AG54" s="283"/>
      <c r="AH54" s="334"/>
      <c r="AI54" s="283" t="str">
        <f>IFERROR(IF(VLOOKUP([3]!功能_33[[#This Row],[功能代號]],E:S,11,FALSE)=0,"",VLOOKUP([3]!功能_33[[#This Row],[功能代號]],E:S,11,FALSE)),"")</f>
        <v/>
      </c>
      <c r="AJ54" s="283"/>
      <c r="AK54" s="283"/>
      <c r="AL54" s="276"/>
      <c r="AN54" s="275" t="s">
        <v>176</v>
      </c>
      <c r="AQ54" s="507" t="str">
        <f t="shared" si="0"/>
        <v>2-4</v>
      </c>
      <c r="AR54" s="508" t="str">
        <f t="shared" si="1"/>
        <v/>
      </c>
      <c r="AS54" s="510" t="str">
        <f t="shared" si="2"/>
        <v/>
      </c>
      <c r="AT54" s="541" t="str">
        <f t="shared" si="3"/>
        <v/>
      </c>
      <c r="AU54" s="542" t="str">
        <f t="shared" si="4"/>
        <v/>
      </c>
      <c r="AV54" s="253" t="str">
        <f t="shared" si="5"/>
        <v/>
      </c>
      <c r="AW54" s="589" t="str">
        <f>IFERROR(VLOOKUP(功能_33[[#This Row],[功能代號]],SIT_FT!D:D,1,FALSE),"")</f>
        <v>L2417</v>
      </c>
    </row>
    <row r="55" spans="2:49" ht="13.5" hidden="1" x14ac:dyDescent="0.3">
      <c r="C55" s="276" t="s">
        <v>78</v>
      </c>
      <c r="D55" s="276" t="s">
        <v>2496</v>
      </c>
      <c r="E55" s="275" t="s">
        <v>274</v>
      </c>
      <c r="F55" s="276" t="s">
        <v>275</v>
      </c>
      <c r="G55" s="276"/>
      <c r="H55" s="275" t="s">
        <v>179</v>
      </c>
      <c r="I55" s="275" t="s">
        <v>189</v>
      </c>
      <c r="J55" s="218" t="s">
        <v>2775</v>
      </c>
      <c r="K55" s="283">
        <v>44558</v>
      </c>
      <c r="L55" s="283">
        <v>44558</v>
      </c>
      <c r="M55" s="283">
        <v>44434</v>
      </c>
      <c r="N55" s="283">
        <v>44433</v>
      </c>
      <c r="O55" s="283">
        <f>IFERROR(IF(VLOOKUP(功能_33[[#This Row],[功能代號]],討論項目!A:H,8,FALSE)=0,"",VLOOKUP(功能_33[[#This Row],[功能代號]],討論項目!A:H,8,FALSE)),"")</f>
        <v>44445</v>
      </c>
      <c r="P55" s="275" t="s">
        <v>10</v>
      </c>
      <c r="Q55" s="275" t="s">
        <v>13</v>
      </c>
      <c r="R55" s="258" t="s">
        <v>212</v>
      </c>
      <c r="V55" s="275"/>
      <c r="X55" s="275"/>
      <c r="Y55" s="275"/>
      <c r="Z55" s="276" t="str">
        <f>VLOOKUP(功能_33[[#This Row],[User]],SKL放款!A:G,7,FALSE)</f>
        <v>放款推展課</v>
      </c>
      <c r="AA55" s="283">
        <v>44533</v>
      </c>
      <c r="AB55" s="283">
        <v>44533</v>
      </c>
      <c r="AC55" s="283">
        <v>44543</v>
      </c>
      <c r="AD55" s="283">
        <v>44543</v>
      </c>
      <c r="AE55" s="283">
        <v>44544</v>
      </c>
      <c r="AF55" s="283"/>
      <c r="AG55" s="283"/>
      <c r="AH55" s="334"/>
      <c r="AI55" s="283">
        <f>IFERROR(IF(VLOOKUP(功能_33[[#This Row],[功能代號]],E:S,11,FALSE)=0,"",VLOOKUP(功能_33[[#This Row],[功能代號]],E:S,11,FALSE)),"")</f>
        <v>44445</v>
      </c>
      <c r="AJ55" s="283"/>
      <c r="AK55" s="283"/>
      <c r="AL55" s="276"/>
      <c r="AN55" s="275" t="s">
        <v>252</v>
      </c>
      <c r="AO55" s="276" t="s">
        <v>263</v>
      </c>
      <c r="AQ55" s="507" t="str">
        <f t="shared" si="0"/>
        <v>2-4</v>
      </c>
      <c r="AR55" s="509" t="str">
        <f t="shared" si="1"/>
        <v/>
      </c>
      <c r="AS55" s="511" t="str">
        <f t="shared" si="2"/>
        <v/>
      </c>
      <c r="AT55" s="513" t="str">
        <f t="shared" si="3"/>
        <v/>
      </c>
      <c r="AU55" s="515" t="str">
        <f t="shared" si="4"/>
        <v/>
      </c>
      <c r="AV55" s="517" t="str">
        <f t="shared" si="5"/>
        <v/>
      </c>
      <c r="AW55" s="589" t="str">
        <f>IFERROR(VLOOKUP(功能_33[[#This Row],[功能代號]],SIT_FT!D:D,1,FALSE),"")</f>
        <v>L2412</v>
      </c>
    </row>
    <row r="56" spans="2:49" ht="13.5" hidden="1" x14ac:dyDescent="0.3">
      <c r="C56" s="276" t="s">
        <v>78</v>
      </c>
      <c r="D56" s="276" t="s">
        <v>2496</v>
      </c>
      <c r="E56" s="275" t="s">
        <v>276</v>
      </c>
      <c r="F56" s="276" t="s">
        <v>277</v>
      </c>
      <c r="G56" s="276"/>
      <c r="H56" s="275" t="s">
        <v>179</v>
      </c>
      <c r="I56" s="275" t="s">
        <v>189</v>
      </c>
      <c r="J56" s="218" t="s">
        <v>2775</v>
      </c>
      <c r="K56" s="283">
        <v>44558</v>
      </c>
      <c r="L56" s="283">
        <v>44558</v>
      </c>
      <c r="M56" s="283">
        <v>44434</v>
      </c>
      <c r="N56" s="283">
        <v>44433</v>
      </c>
      <c r="O56" s="283">
        <v>44536</v>
      </c>
      <c r="P56" s="275" t="s">
        <v>10</v>
      </c>
      <c r="Q56" s="275" t="s">
        <v>13</v>
      </c>
      <c r="R56" s="258" t="s">
        <v>212</v>
      </c>
      <c r="V56" s="275"/>
      <c r="X56" s="275"/>
      <c r="Y56" s="275"/>
      <c r="Z56" s="276" t="str">
        <f>VLOOKUP(功能_33[[#This Row],[User]],SKL放款!A:G,7,FALSE)</f>
        <v>放款推展課</v>
      </c>
      <c r="AA56" s="283">
        <v>44533</v>
      </c>
      <c r="AB56" s="283">
        <v>44477</v>
      </c>
      <c r="AC56" s="283">
        <v>44477</v>
      </c>
      <c r="AD56" s="283">
        <v>44477</v>
      </c>
      <c r="AE56" s="283">
        <v>44544</v>
      </c>
      <c r="AF56" s="283" t="s">
        <v>182</v>
      </c>
      <c r="AG56" s="283"/>
      <c r="AH56" s="334"/>
      <c r="AI56" s="283">
        <f>IFERROR(IF(VLOOKUP(功能_33[[#This Row],[功能代號]],E:S,11,FALSE)=0,"",VLOOKUP(功能_33[[#This Row],[功能代號]],E:S,11,FALSE)),"")</f>
        <v>44536</v>
      </c>
      <c r="AJ56" s="283"/>
      <c r="AK56" s="283"/>
      <c r="AL56" s="276"/>
      <c r="AN56" s="275" t="s">
        <v>176</v>
      </c>
      <c r="AQ56" s="507" t="str">
        <f t="shared" si="0"/>
        <v>2-4</v>
      </c>
      <c r="AR56" s="509" t="str">
        <f t="shared" si="1"/>
        <v/>
      </c>
      <c r="AS56" s="511" t="str">
        <f t="shared" si="2"/>
        <v/>
      </c>
      <c r="AT56" s="513" t="str">
        <f t="shared" si="3"/>
        <v/>
      </c>
      <c r="AU56" s="515" t="str">
        <f t="shared" si="4"/>
        <v/>
      </c>
      <c r="AV56" s="517" t="str">
        <f t="shared" si="5"/>
        <v/>
      </c>
      <c r="AW56" s="589" t="str">
        <f>IFERROR(VLOOKUP(功能_33[[#This Row],[功能代號]],SIT_FT!D:D,1,FALSE),"")</f>
        <v>L2912</v>
      </c>
    </row>
    <row r="57" spans="2:49" ht="13.5" hidden="1" x14ac:dyDescent="0.3">
      <c r="C57" s="276" t="s">
        <v>78</v>
      </c>
      <c r="D57" s="276" t="s">
        <v>2496</v>
      </c>
      <c r="E57" s="275" t="s">
        <v>278</v>
      </c>
      <c r="F57" s="276" t="s">
        <v>279</v>
      </c>
      <c r="G57" s="276"/>
      <c r="H57" s="275" t="s">
        <v>179</v>
      </c>
      <c r="I57" s="275" t="s">
        <v>189</v>
      </c>
      <c r="J57" s="218" t="s">
        <v>2775</v>
      </c>
      <c r="K57" s="283">
        <v>44558</v>
      </c>
      <c r="L57" s="283">
        <v>44558</v>
      </c>
      <c r="M57" s="283">
        <v>44435</v>
      </c>
      <c r="N57" s="283">
        <v>44434</v>
      </c>
      <c r="O57" s="283">
        <f>IFERROR(IF(VLOOKUP(功能_33[[#This Row],[功能代號]],討論項目!A:H,8,FALSE)=0,"",VLOOKUP(功能_33[[#This Row],[功能代號]],討論項目!A:H,8,FALSE)),"")</f>
        <v>44435</v>
      </c>
      <c r="P57" s="275" t="s">
        <v>10</v>
      </c>
      <c r="Q57" s="275" t="s">
        <v>27</v>
      </c>
      <c r="R57" s="258" t="s">
        <v>212</v>
      </c>
      <c r="V57" s="275"/>
      <c r="X57" s="275"/>
      <c r="Y57" s="275"/>
      <c r="Z57" s="276" t="str">
        <f>VLOOKUP(功能_33[[#This Row],[User]],SKL放款!A:G,7,FALSE)</f>
        <v>放款推展課</v>
      </c>
      <c r="AA57" s="283">
        <v>44533</v>
      </c>
      <c r="AB57" s="283" t="s">
        <v>119</v>
      </c>
      <c r="AC57" s="283">
        <v>44543</v>
      </c>
      <c r="AD57" s="283">
        <v>44543</v>
      </c>
      <c r="AE57" s="283">
        <v>44544</v>
      </c>
      <c r="AF57" s="283"/>
      <c r="AG57" s="283"/>
      <c r="AH57" s="334"/>
      <c r="AI57" s="283">
        <f>IFERROR(IF(VLOOKUP(功能_33[[#This Row],[功能代號]],E:S,11,FALSE)=0,"",VLOOKUP(功能_33[[#This Row],[功能代號]],E:S,11,FALSE)),"")</f>
        <v>44435</v>
      </c>
      <c r="AJ57" s="283"/>
      <c r="AK57" s="283"/>
      <c r="AL57" s="276"/>
      <c r="AN57" s="275" t="s">
        <v>252</v>
      </c>
      <c r="AO57" s="276" t="s">
        <v>280</v>
      </c>
      <c r="AQ57" s="507" t="str">
        <f t="shared" si="0"/>
        <v>2-4</v>
      </c>
      <c r="AR57" s="509" t="str">
        <f t="shared" si="1"/>
        <v/>
      </c>
      <c r="AS57" s="511" t="str">
        <f t="shared" si="2"/>
        <v/>
      </c>
      <c r="AT57" s="513" t="str">
        <f t="shared" si="3"/>
        <v/>
      </c>
      <c r="AU57" s="515" t="str">
        <f t="shared" si="4"/>
        <v/>
      </c>
      <c r="AV57" s="517" t="str">
        <f t="shared" si="5"/>
        <v/>
      </c>
      <c r="AW57" s="589" t="str">
        <f>IFERROR(VLOOKUP(功能_33[[#This Row],[功能代號]],SIT_FT!D:D,1,FALSE),"")</f>
        <v>L2413</v>
      </c>
    </row>
    <row r="58" spans="2:49" ht="13.5" hidden="1" x14ac:dyDescent="0.3">
      <c r="C58" s="276" t="s">
        <v>78</v>
      </c>
      <c r="D58" s="276" t="s">
        <v>2496</v>
      </c>
      <c r="E58" s="275" t="s">
        <v>281</v>
      </c>
      <c r="F58" s="276" t="s">
        <v>282</v>
      </c>
      <c r="G58" s="276"/>
      <c r="H58" s="275" t="s">
        <v>179</v>
      </c>
      <c r="I58" s="275" t="s">
        <v>189</v>
      </c>
      <c r="J58" s="218" t="s">
        <v>2775</v>
      </c>
      <c r="K58" s="283">
        <v>44558</v>
      </c>
      <c r="L58" s="283">
        <v>44558</v>
      </c>
      <c r="M58" s="283">
        <v>44435</v>
      </c>
      <c r="N58" s="283">
        <v>44434</v>
      </c>
      <c r="O58" s="283">
        <f>IFERROR(IF(VLOOKUP(功能_33[[#This Row],[功能代號]],討論項目!A:H,8,FALSE)=0,"",VLOOKUP(功能_33[[#This Row],[功能代號]],討論項目!A:H,8,FALSE)),"")</f>
        <v>44441</v>
      </c>
      <c r="P58" s="275" t="s">
        <v>10</v>
      </c>
      <c r="Q58" s="275" t="s">
        <v>27</v>
      </c>
      <c r="R58" s="258" t="s">
        <v>212</v>
      </c>
      <c r="V58" s="275"/>
      <c r="X58" s="275"/>
      <c r="Y58" s="275"/>
      <c r="Z58" s="276" t="str">
        <f>VLOOKUP(功能_33[[#This Row],[User]],SKL放款!A:G,7,FALSE)</f>
        <v>放款推展課</v>
      </c>
      <c r="AA58" s="283">
        <v>44533</v>
      </c>
      <c r="AB58" s="283" t="s">
        <v>119</v>
      </c>
      <c r="AC58" s="283">
        <v>44543</v>
      </c>
      <c r="AD58" s="283">
        <v>44543</v>
      </c>
      <c r="AE58" s="283">
        <v>44544</v>
      </c>
      <c r="AF58" s="283"/>
      <c r="AG58" s="283"/>
      <c r="AH58" s="334"/>
      <c r="AI58" s="283">
        <f>IFERROR(IF(VLOOKUP(功能_33[[#This Row],[功能代號]],E:S,11,FALSE)=0,"",VLOOKUP(功能_33[[#This Row],[功能代號]],E:S,11,FALSE)),"")</f>
        <v>44441</v>
      </c>
      <c r="AJ58" s="283"/>
      <c r="AK58" s="283"/>
      <c r="AL58" s="276"/>
      <c r="AN58" s="275" t="s">
        <v>176</v>
      </c>
      <c r="AQ58" s="507" t="str">
        <f t="shared" si="0"/>
        <v>2-4</v>
      </c>
      <c r="AR58" s="509" t="str">
        <f t="shared" si="1"/>
        <v/>
      </c>
      <c r="AS58" s="511" t="str">
        <f t="shared" si="2"/>
        <v/>
      </c>
      <c r="AT58" s="513" t="str">
        <f t="shared" si="3"/>
        <v/>
      </c>
      <c r="AU58" s="515" t="str">
        <f t="shared" si="4"/>
        <v/>
      </c>
      <c r="AV58" s="517" t="str">
        <f t="shared" si="5"/>
        <v/>
      </c>
      <c r="AW58" s="589" t="str">
        <f>IFERROR(VLOOKUP(功能_33[[#This Row],[功能代號]],SIT_FT!D:D,1,FALSE),"")</f>
        <v>L2913</v>
      </c>
    </row>
    <row r="59" spans="2:49" ht="13.5" hidden="1" x14ac:dyDescent="0.3">
      <c r="C59" s="276" t="s">
        <v>78</v>
      </c>
      <c r="D59" s="276" t="s">
        <v>2496</v>
      </c>
      <c r="E59" s="275" t="s">
        <v>283</v>
      </c>
      <c r="F59" s="276" t="s">
        <v>284</v>
      </c>
      <c r="G59" s="276"/>
      <c r="H59" s="275" t="s">
        <v>179</v>
      </c>
      <c r="I59" s="275" t="s">
        <v>189</v>
      </c>
      <c r="J59" s="218" t="s">
        <v>2775</v>
      </c>
      <c r="K59" s="283">
        <v>44558</v>
      </c>
      <c r="L59" s="283">
        <v>44558</v>
      </c>
      <c r="M59" s="283">
        <v>44435</v>
      </c>
      <c r="N59" s="283">
        <v>44434</v>
      </c>
      <c r="O59" s="283">
        <f>IFERROR(IF(VLOOKUP(功能_33[[#This Row],[功能代號]],討論項目!A:H,8,FALSE)=0,"",VLOOKUP(功能_33[[#This Row],[功能代號]],討論項目!A:H,8,FALSE)),"")</f>
        <v>44445</v>
      </c>
      <c r="P59" s="275" t="s">
        <v>10</v>
      </c>
      <c r="Q59" s="275" t="s">
        <v>27</v>
      </c>
      <c r="R59" s="258" t="s">
        <v>212</v>
      </c>
      <c r="V59" s="275"/>
      <c r="X59" s="275"/>
      <c r="Y59" s="275"/>
      <c r="Z59" s="276" t="str">
        <f>VLOOKUP(功能_33[[#This Row],[User]],SKL放款!A:G,7,FALSE)</f>
        <v>放款推展課</v>
      </c>
      <c r="AA59" s="283">
        <v>44533</v>
      </c>
      <c r="AB59" s="283" t="s">
        <v>119</v>
      </c>
      <c r="AC59" s="283">
        <v>44543</v>
      </c>
      <c r="AD59" s="283">
        <v>44543</v>
      </c>
      <c r="AE59" s="283">
        <v>44544</v>
      </c>
      <c r="AF59" s="283"/>
      <c r="AG59" s="283"/>
      <c r="AH59" s="334"/>
      <c r="AI59" s="283">
        <f>IFERROR(IF(VLOOKUP(功能_33[[#This Row],[功能代號]],E:S,11,FALSE)=0,"",VLOOKUP(功能_33[[#This Row],[功能代號]],E:S,11,FALSE)),"")</f>
        <v>44445</v>
      </c>
      <c r="AJ59" s="283"/>
      <c r="AK59" s="283"/>
      <c r="AL59" s="276"/>
      <c r="AN59" s="275" t="s">
        <v>176</v>
      </c>
      <c r="AQ59" s="507" t="str">
        <f t="shared" si="0"/>
        <v>2-4</v>
      </c>
      <c r="AR59" s="509" t="str">
        <f t="shared" si="1"/>
        <v/>
      </c>
      <c r="AS59" s="511" t="str">
        <f t="shared" si="2"/>
        <v/>
      </c>
      <c r="AT59" s="513" t="str">
        <f t="shared" si="3"/>
        <v/>
      </c>
      <c r="AU59" s="515" t="str">
        <f t="shared" si="4"/>
        <v/>
      </c>
      <c r="AV59" s="517" t="str">
        <f t="shared" si="5"/>
        <v/>
      </c>
      <c r="AW59" s="589" t="str">
        <f>IFERROR(VLOOKUP(功能_33[[#This Row],[功能代號]],SIT_FT!D:D,1,FALSE),"")</f>
        <v>L2414</v>
      </c>
    </row>
    <row r="60" spans="2:49" ht="13.5" hidden="1" x14ac:dyDescent="0.3">
      <c r="C60" s="276" t="s">
        <v>78</v>
      </c>
      <c r="D60" s="276" t="s">
        <v>2496</v>
      </c>
      <c r="E60" s="275" t="s">
        <v>285</v>
      </c>
      <c r="F60" s="276" t="s">
        <v>286</v>
      </c>
      <c r="G60" s="276"/>
      <c r="H60" s="275" t="s">
        <v>179</v>
      </c>
      <c r="I60" s="275" t="s">
        <v>189</v>
      </c>
      <c r="J60" s="218" t="s">
        <v>2775</v>
      </c>
      <c r="K60" s="283">
        <v>44558</v>
      </c>
      <c r="L60" s="283">
        <v>44558</v>
      </c>
      <c r="M60" s="283">
        <v>44435</v>
      </c>
      <c r="N60" s="283">
        <v>44434</v>
      </c>
      <c r="O60" s="283">
        <v>44536</v>
      </c>
      <c r="P60" s="275" t="s">
        <v>10</v>
      </c>
      <c r="Q60" s="275" t="s">
        <v>27</v>
      </c>
      <c r="R60" s="258" t="s">
        <v>212</v>
      </c>
      <c r="V60" s="275"/>
      <c r="X60" s="275"/>
      <c r="Y60" s="275"/>
      <c r="Z60" s="276" t="str">
        <f>VLOOKUP(功能_33[[#This Row],[User]],SKL放款!A:G,7,FALSE)</f>
        <v>放款推展課</v>
      </c>
      <c r="AA60" s="283">
        <v>44533</v>
      </c>
      <c r="AB60" s="283" t="s">
        <v>181</v>
      </c>
      <c r="AC60" s="283">
        <v>44477</v>
      </c>
      <c r="AD60" s="283">
        <v>44477</v>
      </c>
      <c r="AE60" s="283">
        <v>44544</v>
      </c>
      <c r="AF60" s="283" t="s">
        <v>182</v>
      </c>
      <c r="AG60" s="283"/>
      <c r="AH60" s="334"/>
      <c r="AI60" s="283">
        <f>IFERROR(IF(VLOOKUP(功能_33[[#This Row],[功能代號]],E:S,11,FALSE)=0,"",VLOOKUP(功能_33[[#This Row],[功能代號]],E:S,11,FALSE)),"")</f>
        <v>44536</v>
      </c>
      <c r="AJ60" s="283"/>
      <c r="AK60" s="283"/>
      <c r="AL60" s="276"/>
      <c r="AN60" s="275" t="s">
        <v>176</v>
      </c>
      <c r="AQ60" s="507" t="str">
        <f t="shared" si="0"/>
        <v>2-4</v>
      </c>
      <c r="AR60" s="509" t="str">
        <f t="shared" si="1"/>
        <v/>
      </c>
      <c r="AS60" s="511" t="str">
        <f t="shared" si="2"/>
        <v/>
      </c>
      <c r="AT60" s="513" t="str">
        <f t="shared" si="3"/>
        <v/>
      </c>
      <c r="AU60" s="515" t="str">
        <f t="shared" si="4"/>
        <v/>
      </c>
      <c r="AV60" s="517" t="str">
        <f t="shared" si="5"/>
        <v/>
      </c>
      <c r="AW60" s="589" t="str">
        <f>IFERROR(VLOOKUP(功能_33[[#This Row],[功能代號]],SIT_FT!D:D,1,FALSE),"")</f>
        <v>L2914</v>
      </c>
    </row>
    <row r="61" spans="2:49" ht="13.5" hidden="1" x14ac:dyDescent="0.3">
      <c r="C61" s="276" t="s">
        <v>78</v>
      </c>
      <c r="D61" s="276" t="s">
        <v>2508</v>
      </c>
      <c r="E61" s="275" t="s">
        <v>287</v>
      </c>
      <c r="F61" s="276" t="s">
        <v>288</v>
      </c>
      <c r="G61" s="276"/>
      <c r="H61" s="275" t="s">
        <v>179</v>
      </c>
      <c r="I61" s="275" t="s">
        <v>189</v>
      </c>
      <c r="J61" s="218" t="s">
        <v>2864</v>
      </c>
      <c r="K61" s="283">
        <v>44558</v>
      </c>
      <c r="L61" s="283">
        <v>44558</v>
      </c>
      <c r="M61" s="283">
        <v>44434</v>
      </c>
      <c r="N61" s="283">
        <v>44434</v>
      </c>
      <c r="O61" s="283">
        <f>IFERROR(IF(VLOOKUP(功能_33[[#This Row],[功能代號]],討論項目!A:H,8,FALSE)=0,"",VLOOKUP(功能_33[[#This Row],[功能代號]],討論項目!A:H,8,FALSE)),"")</f>
        <v>44499</v>
      </c>
      <c r="P61" s="275" t="s">
        <v>12</v>
      </c>
      <c r="Q61" s="275" t="s">
        <v>158</v>
      </c>
      <c r="R61" s="258" t="s">
        <v>289</v>
      </c>
      <c r="V61" s="275"/>
      <c r="X61" s="275"/>
      <c r="Y61" s="275"/>
      <c r="Z61" s="276" t="str">
        <f>VLOOKUP(功能_33[[#This Row],[User]],SKL放款!A:G,7,FALSE)</f>
        <v>放款服務課</v>
      </c>
      <c r="AA61" s="283">
        <v>44533</v>
      </c>
      <c r="AB61" s="283">
        <v>44470</v>
      </c>
      <c r="AC61" s="283">
        <f>IF(功能_33[[#This Row],[URS交二審]]=0,"",功能_33[[#This Row],[URS交二審]]+7)</f>
        <v>44477</v>
      </c>
      <c r="AD61" s="283">
        <f>IF(功能_33[[#This Row],[URS交二審]]=0,"",功能_33[[#This Row],[URS交二審]]+7)</f>
        <v>44477</v>
      </c>
      <c r="AE61" s="283">
        <v>44546</v>
      </c>
      <c r="AF61" s="283" t="s">
        <v>182</v>
      </c>
      <c r="AG61" s="283"/>
      <c r="AH61" s="334"/>
      <c r="AI61" s="283">
        <f>IFERROR(IF(VLOOKUP(功能_33[[#This Row],[功能代號]],E:S,11,FALSE)=0,"",VLOOKUP(功能_33[[#This Row],[功能代號]],E:S,11,FALSE)),"")</f>
        <v>44499</v>
      </c>
      <c r="AJ61" s="283"/>
      <c r="AK61" s="283"/>
      <c r="AL61" s="276"/>
      <c r="AN61" s="275">
        <v>231</v>
      </c>
      <c r="AO61" s="276" t="s">
        <v>290</v>
      </c>
      <c r="AQ61" s="507" t="str">
        <f t="shared" si="0"/>
        <v>2-9</v>
      </c>
      <c r="AR61" s="509" t="str">
        <f t="shared" si="1"/>
        <v/>
      </c>
      <c r="AS61" s="511" t="str">
        <f t="shared" si="2"/>
        <v/>
      </c>
      <c r="AT61" s="513" t="str">
        <f t="shared" si="3"/>
        <v/>
      </c>
      <c r="AU61" s="515" t="str">
        <f t="shared" si="4"/>
        <v/>
      </c>
      <c r="AV61" s="517" t="str">
        <f t="shared" si="5"/>
        <v/>
      </c>
      <c r="AW61" s="589" t="str">
        <f>IFERROR(VLOOKUP(功能_33[[#This Row],[功能代號]],SIT_FT!D:D,1,FALSE),"")</f>
        <v>L2702</v>
      </c>
    </row>
    <row r="62" spans="2:49" ht="13.5" hidden="1" x14ac:dyDescent="0.3">
      <c r="C62" s="276" t="s">
        <v>78</v>
      </c>
      <c r="D62" s="276" t="s">
        <v>2508</v>
      </c>
      <c r="E62" s="275" t="s">
        <v>291</v>
      </c>
      <c r="F62" s="276" t="s">
        <v>292</v>
      </c>
      <c r="G62" s="276"/>
      <c r="H62" s="275" t="s">
        <v>179</v>
      </c>
      <c r="I62" s="275" t="s">
        <v>189</v>
      </c>
      <c r="J62" s="218" t="s">
        <v>2864</v>
      </c>
      <c r="K62" s="283">
        <v>44558</v>
      </c>
      <c r="L62" s="283">
        <v>44558</v>
      </c>
      <c r="M62" s="283">
        <v>44434</v>
      </c>
      <c r="N62" s="283">
        <v>44434</v>
      </c>
      <c r="O62" s="283">
        <f>IFERROR(IF(VLOOKUP(功能_33[[#This Row],[功能代號]],討論項目!A:H,8,FALSE)=0,"",VLOOKUP(功能_33[[#This Row],[功能代號]],討論項目!A:H,8,FALSE)),"")</f>
        <v>44441</v>
      </c>
      <c r="P62" s="275" t="s">
        <v>12</v>
      </c>
      <c r="Q62" s="275" t="s">
        <v>158</v>
      </c>
      <c r="R62" s="258" t="s">
        <v>289</v>
      </c>
      <c r="V62" s="275"/>
      <c r="X62" s="275"/>
      <c r="Y62" s="275"/>
      <c r="Z62" s="276" t="str">
        <f>VLOOKUP(功能_33[[#This Row],[User]],SKL放款!A:G,7,FALSE)</f>
        <v>放款服務課</v>
      </c>
      <c r="AA62" s="283">
        <v>44533</v>
      </c>
      <c r="AB62" s="283">
        <v>44470</v>
      </c>
      <c r="AC62" s="283">
        <f>IF(功能_33[[#This Row],[URS交二審]]=0,"",功能_33[[#This Row],[URS交二審]]+7)</f>
        <v>44477</v>
      </c>
      <c r="AD62" s="283">
        <f>IF(功能_33[[#This Row],[URS交二審]]=0,"",功能_33[[#This Row],[URS交二審]]+7)</f>
        <v>44477</v>
      </c>
      <c r="AE62" s="283">
        <v>44546</v>
      </c>
      <c r="AF62" s="283" t="s">
        <v>182</v>
      </c>
      <c r="AG62" s="283"/>
      <c r="AH62" s="334"/>
      <c r="AI62" s="283">
        <f>IFERROR(IF(VLOOKUP(功能_33[[#This Row],[功能代號]],E:S,11,FALSE)=0,"",VLOOKUP(功能_33[[#This Row],[功能代號]],E:S,11,FALSE)),"")</f>
        <v>44441</v>
      </c>
      <c r="AJ62" s="283"/>
      <c r="AK62" s="283"/>
      <c r="AL62" s="276"/>
      <c r="AN62" s="275">
        <v>209</v>
      </c>
      <c r="AO62" s="276" t="s">
        <v>293</v>
      </c>
      <c r="AQ62" s="507" t="str">
        <f t="shared" si="0"/>
        <v>2-9</v>
      </c>
      <c r="AR62" s="509" t="str">
        <f t="shared" si="1"/>
        <v/>
      </c>
      <c r="AS62" s="511" t="str">
        <f t="shared" si="2"/>
        <v/>
      </c>
      <c r="AT62" s="513" t="str">
        <f t="shared" si="3"/>
        <v/>
      </c>
      <c r="AU62" s="515" t="str">
        <f t="shared" si="4"/>
        <v/>
      </c>
      <c r="AV62" s="517" t="str">
        <f t="shared" si="5"/>
        <v/>
      </c>
      <c r="AW62" s="589" t="str">
        <f>IFERROR(VLOOKUP(功能_33[[#This Row],[功能代號]],SIT_FT!D:D,1,FALSE),"")</f>
        <v>L2072</v>
      </c>
    </row>
    <row r="63" spans="2:49" ht="13.5" x14ac:dyDescent="0.3">
      <c r="B63" s="276">
        <v>1</v>
      </c>
      <c r="C63" s="276" t="s">
        <v>79</v>
      </c>
      <c r="D63" s="276" t="s">
        <v>2499</v>
      </c>
      <c r="E63" s="275" t="s">
        <v>294</v>
      </c>
      <c r="F63" s="276" t="s">
        <v>295</v>
      </c>
      <c r="G63" s="276"/>
      <c r="H63" s="275" t="s">
        <v>179</v>
      </c>
      <c r="I63" s="275" t="s">
        <v>180</v>
      </c>
      <c r="J63" s="218" t="s">
        <v>3012</v>
      </c>
      <c r="K63" s="283">
        <v>44572</v>
      </c>
      <c r="L63" s="275"/>
      <c r="M63" s="283">
        <v>44438</v>
      </c>
      <c r="N63" s="283">
        <v>44435</v>
      </c>
      <c r="O63" s="283">
        <v>44435</v>
      </c>
      <c r="P63" s="275" t="s">
        <v>8</v>
      </c>
      <c r="Q63" s="275" t="s">
        <v>158</v>
      </c>
      <c r="R63" s="258" t="s">
        <v>13</v>
      </c>
      <c r="V63" s="275"/>
      <c r="X63" s="275"/>
      <c r="Y63" s="275"/>
      <c r="Z63" s="276" t="str">
        <f>VLOOKUP(功能_33[[#This Row],[User]],SKL放款!A:G,7,FALSE)</f>
        <v>放款服務課</v>
      </c>
      <c r="AA63" s="283">
        <v>44496</v>
      </c>
      <c r="AB63" s="283">
        <v>44488</v>
      </c>
      <c r="AC63" s="283">
        <v>44496</v>
      </c>
      <c r="AD63" s="283">
        <v>44496</v>
      </c>
      <c r="AE63" s="283">
        <v>44512</v>
      </c>
      <c r="AF63" s="283" t="s">
        <v>182</v>
      </c>
      <c r="AG63" s="283"/>
      <c r="AH63" s="334"/>
      <c r="AI63" s="283">
        <f>IFERROR(IF(VLOOKUP(功能_33[[#This Row],[功能代號]],E:S,11,FALSE)=0,"",VLOOKUP(功能_33[[#This Row],[功能代號]],E:S,11,FALSE)),"")</f>
        <v>44435</v>
      </c>
      <c r="AJ63" s="283"/>
      <c r="AK63" s="283"/>
      <c r="AL63" s="276"/>
      <c r="AM63" s="276"/>
      <c r="AN63" s="275">
        <v>305</v>
      </c>
      <c r="AO63" s="276" t="s">
        <v>297</v>
      </c>
      <c r="AQ63" s="507" t="str">
        <f t="shared" si="0"/>
        <v>3-1</v>
      </c>
      <c r="AR63" s="509" t="str">
        <f t="shared" si="1"/>
        <v/>
      </c>
      <c r="AS63" s="511" t="str">
        <f t="shared" si="2"/>
        <v/>
      </c>
      <c r="AT63" s="513" t="str">
        <f t="shared" si="3"/>
        <v/>
      </c>
      <c r="AU63" s="515" t="str">
        <f t="shared" si="4"/>
        <v/>
      </c>
      <c r="AV63" s="517" t="str">
        <f t="shared" si="5"/>
        <v/>
      </c>
      <c r="AW63" s="589" t="str">
        <f>IFERROR(VLOOKUP(功能_33[[#This Row],[功能代號]],SIT_FT!D:D,1,FALSE),"")</f>
        <v>L3901</v>
      </c>
    </row>
    <row r="64" spans="2:49" ht="13.5" hidden="1" x14ac:dyDescent="0.3">
      <c r="C64" s="276" t="s">
        <v>81</v>
      </c>
      <c r="D64" s="276" t="s">
        <v>2485</v>
      </c>
      <c r="E64" s="275" t="s">
        <v>955</v>
      </c>
      <c r="F64" s="276" t="s">
        <v>956</v>
      </c>
      <c r="G64" s="276"/>
      <c r="H64" s="275" t="s">
        <v>179</v>
      </c>
      <c r="I64" s="275" t="s">
        <v>300</v>
      </c>
      <c r="J64" s="282" t="s">
        <v>2774</v>
      </c>
      <c r="K64" s="283">
        <v>44575</v>
      </c>
      <c r="L64" s="283">
        <v>44572</v>
      </c>
      <c r="M64" s="283">
        <v>44504</v>
      </c>
      <c r="N64" s="283">
        <v>44505</v>
      </c>
      <c r="O64" s="283">
        <v>44505</v>
      </c>
      <c r="P64" s="275" t="s">
        <v>8</v>
      </c>
      <c r="Q64" s="275" t="s">
        <v>11</v>
      </c>
      <c r="V64" s="275"/>
      <c r="X64" s="275"/>
      <c r="Y64" s="275"/>
      <c r="Z64" s="276" t="str">
        <f>VLOOKUP(功能_33[[#This Row],[User]],SKL放款!A:G,7,FALSE)</f>
        <v>放款服務課</v>
      </c>
      <c r="AA64" s="283">
        <v>44533</v>
      </c>
      <c r="AB64" s="283" t="s">
        <v>181</v>
      </c>
      <c r="AC64" s="283">
        <v>44505</v>
      </c>
      <c r="AD64" s="283">
        <v>44505</v>
      </c>
      <c r="AE64" s="283">
        <v>44544</v>
      </c>
      <c r="AF64" s="283"/>
      <c r="AG64" s="283"/>
      <c r="AH64" s="334"/>
      <c r="AI64" s="283">
        <f>IFERROR(IF(VLOOKUP(功能_33[[#This Row],[功能代號]],E:S,11,FALSE)=0,"",VLOOKUP(功能_33[[#This Row],[功能代號]],E:S,11,FALSE)),"")</f>
        <v>44505</v>
      </c>
      <c r="AJ64" s="283"/>
      <c r="AK64" s="283"/>
      <c r="AL64" s="276"/>
      <c r="AM64" s="283"/>
      <c r="AN64" s="287" t="s">
        <v>957</v>
      </c>
      <c r="AO64" s="288" t="s">
        <v>958</v>
      </c>
      <c r="AQ64" s="507" t="str">
        <f t="shared" ref="AQ64:AQ128" si="6">IF(COUNTA(AE64)=1,LEFT(D64,3),"")</f>
        <v>5-1</v>
      </c>
      <c r="AR64" s="509" t="str">
        <f t="shared" ref="AR64:AR128" si="7">IF(AND(COUNTA(N64)=1,COUNTA(O64)=1,COUNTA(AA64)=1,COUNTA(AD64)=1,COUNTA(AE64)=0),LEFT(D64,3),"")</f>
        <v/>
      </c>
      <c r="AS64" s="511" t="str">
        <f t="shared" ref="AS64:AS128" si="8">IF(AND(COUNTA(N64)=1,COUNTA(O64)=1,COUNTA(AA64)=1,COUNTA(AD64)=0,COUNTA(AE64)=0),LEFT(D64,3),"")</f>
        <v/>
      </c>
      <c r="AT64" s="513" t="str">
        <f t="shared" ref="AT64:AT128" si="9">IF(AND(COUNTA(O64)=0,COUNTA(AA64)=1),LEFT(D64,3),"")</f>
        <v/>
      </c>
      <c r="AU64" s="515" t="str">
        <f t="shared" ref="AU64:AU128" si="10">IF(AND(COUNTA(O64)=1,COUNTA(AA64)=0),LEFT(D64,3),"")</f>
        <v/>
      </c>
      <c r="AV64" s="517" t="str">
        <f t="shared" ref="AV64:AV128" si="11">IF(AND(COUNTA(O64)=0,COUNTA(AA64)=0),LEFT(D64,3),"")</f>
        <v/>
      </c>
      <c r="AW64" s="589" t="str">
        <f>IFERROR(VLOOKUP(功能_33[[#This Row],[功能代號]],SIT_FT!D:D,1,FALSE),"")</f>
        <v>L5901</v>
      </c>
    </row>
    <row r="65" spans="2:49" ht="13.5" x14ac:dyDescent="0.3">
      <c r="B65" s="276">
        <v>1</v>
      </c>
      <c r="C65" s="276" t="s">
        <v>79</v>
      </c>
      <c r="D65" s="276" t="s">
        <v>2500</v>
      </c>
      <c r="E65" s="275" t="s">
        <v>304</v>
      </c>
      <c r="F65" s="276" t="s">
        <v>305</v>
      </c>
      <c r="G65" s="276"/>
      <c r="H65" s="275" t="s">
        <v>179</v>
      </c>
      <c r="I65" s="275" t="s">
        <v>180</v>
      </c>
      <c r="J65" s="218" t="s">
        <v>3012</v>
      </c>
      <c r="K65" s="283">
        <v>44581</v>
      </c>
      <c r="L65" s="275"/>
      <c r="M65" s="283">
        <v>44439</v>
      </c>
      <c r="N65" s="283">
        <v>44439</v>
      </c>
      <c r="O65" s="283">
        <v>44439</v>
      </c>
      <c r="P65" s="275" t="s">
        <v>12</v>
      </c>
      <c r="Q65" s="275" t="s">
        <v>18</v>
      </c>
      <c r="V65" s="275"/>
      <c r="X65" s="275"/>
      <c r="Y65" s="275"/>
      <c r="Z65" s="276" t="str">
        <f>VLOOKUP(功能_33[[#This Row],[User]],SKL放款!A:G,7,FALSE)</f>
        <v>放款服務課</v>
      </c>
      <c r="AA65" s="283">
        <v>44496</v>
      </c>
      <c r="AB65" s="283" t="s">
        <v>181</v>
      </c>
      <c r="AC65" s="283">
        <v>44496</v>
      </c>
      <c r="AD65" s="283">
        <v>44496</v>
      </c>
      <c r="AE65" s="283">
        <v>44512</v>
      </c>
      <c r="AF65" s="283" t="s">
        <v>182</v>
      </c>
      <c r="AG65" s="283"/>
      <c r="AH65" s="334"/>
      <c r="AI65" s="283">
        <f>IFERROR(IF(VLOOKUP(功能_33[[#This Row],[功能代號]],E:S,11,FALSE)=0,"",VLOOKUP(功能_33[[#This Row],[功能代號]],E:S,11,FALSE)),"")</f>
        <v>44439</v>
      </c>
      <c r="AJ65" s="283"/>
      <c r="AK65" s="283"/>
      <c r="AL65" s="276"/>
      <c r="AM65" s="276"/>
      <c r="AN65" s="275" t="s">
        <v>176</v>
      </c>
      <c r="AQ65" s="507" t="str">
        <f t="shared" si="6"/>
        <v>3-2</v>
      </c>
      <c r="AR65" s="509" t="str">
        <f t="shared" si="7"/>
        <v/>
      </c>
      <c r="AS65" s="511" t="str">
        <f t="shared" si="8"/>
        <v/>
      </c>
      <c r="AT65" s="513" t="str">
        <f t="shared" si="9"/>
        <v/>
      </c>
      <c r="AU65" s="515" t="str">
        <f t="shared" si="10"/>
        <v/>
      </c>
      <c r="AV65" s="517" t="str">
        <f t="shared" si="11"/>
        <v/>
      </c>
      <c r="AW65" s="589" t="str">
        <f>IFERROR(VLOOKUP(功能_33[[#This Row],[功能代號]],SIT_FT!D:D,1,FALSE),"")</f>
        <v>L3003</v>
      </c>
    </row>
    <row r="66" spans="2:49" ht="13.5" x14ac:dyDescent="0.3">
      <c r="B66" s="276">
        <v>1</v>
      </c>
      <c r="C66" s="276" t="s">
        <v>79</v>
      </c>
      <c r="D66" s="276" t="s">
        <v>2500</v>
      </c>
      <c r="E66" s="275" t="s">
        <v>306</v>
      </c>
      <c r="F66" s="276" t="s">
        <v>307</v>
      </c>
      <c r="G66" s="276"/>
      <c r="H66" s="275" t="s">
        <v>179</v>
      </c>
      <c r="I66" s="275" t="s">
        <v>180</v>
      </c>
      <c r="J66" s="218" t="s">
        <v>3012</v>
      </c>
      <c r="K66" s="283">
        <v>44574</v>
      </c>
      <c r="L66" s="275"/>
      <c r="M66" s="283">
        <v>44439</v>
      </c>
      <c r="N66" s="283">
        <v>44439</v>
      </c>
      <c r="O66" s="283">
        <f>IFERROR(IF(VLOOKUP(功能_33[[#This Row],[功能代號]],討論項目!A:H,8,FALSE)=0,"",VLOOKUP(功能_33[[#This Row],[功能代號]],討論項目!A:H,8,FALSE)),"")</f>
        <v>44490</v>
      </c>
      <c r="P66" s="275" t="s">
        <v>12</v>
      </c>
      <c r="Q66" s="275" t="s">
        <v>18</v>
      </c>
      <c r="V66" s="275"/>
      <c r="X66" s="275"/>
      <c r="Y66" s="275"/>
      <c r="Z66" s="276" t="str">
        <f>VLOOKUP(功能_33[[#This Row],[User]],SKL放款!A:G,7,FALSE)</f>
        <v>放款服務課</v>
      </c>
      <c r="AA66" s="283">
        <v>44496</v>
      </c>
      <c r="AB66" s="283">
        <v>44512</v>
      </c>
      <c r="AC66" s="283">
        <v>44496</v>
      </c>
      <c r="AD66" s="283">
        <v>44496</v>
      </c>
      <c r="AE66" s="283">
        <v>44512</v>
      </c>
      <c r="AF66" s="283" t="s">
        <v>182</v>
      </c>
      <c r="AG66" s="283"/>
      <c r="AH66" s="334"/>
      <c r="AI66" s="283">
        <f>IFERROR(IF(VLOOKUP(功能_33[[#This Row],[功能代號]],E:S,11,FALSE)=0,"",VLOOKUP(功能_33[[#This Row],[功能代號]],E:S,11,FALSE)),"")</f>
        <v>44490</v>
      </c>
      <c r="AJ66" s="283"/>
      <c r="AK66" s="283"/>
      <c r="AL66" s="276"/>
      <c r="AM66" s="276"/>
      <c r="AN66" s="275" t="s">
        <v>176</v>
      </c>
      <c r="AQ66" s="507" t="str">
        <f t="shared" si="6"/>
        <v>3-2</v>
      </c>
      <c r="AR66" s="509" t="str">
        <f t="shared" si="7"/>
        <v/>
      </c>
      <c r="AS66" s="511" t="str">
        <f t="shared" si="8"/>
        <v/>
      </c>
      <c r="AT66" s="513" t="str">
        <f t="shared" si="9"/>
        <v/>
      </c>
      <c r="AU66" s="515" t="str">
        <f t="shared" si="10"/>
        <v/>
      </c>
      <c r="AV66" s="517" t="str">
        <f t="shared" si="11"/>
        <v/>
      </c>
      <c r="AW66" s="589" t="str">
        <f>IFERROR(VLOOKUP(功能_33[[#This Row],[功能代號]],SIT_FT!D:D,1,FALSE),"")</f>
        <v>L3110</v>
      </c>
    </row>
    <row r="67" spans="2:49" ht="13.5" hidden="1" x14ac:dyDescent="0.3">
      <c r="B67" s="276">
        <v>1</v>
      </c>
      <c r="C67" s="276" t="s">
        <v>79</v>
      </c>
      <c r="D67" s="276" t="s">
        <v>2500</v>
      </c>
      <c r="E67" s="275" t="s">
        <v>308</v>
      </c>
      <c r="F67" s="276" t="s">
        <v>309</v>
      </c>
      <c r="G67" s="276"/>
      <c r="H67" s="275" t="s">
        <v>179</v>
      </c>
      <c r="I67" s="275" t="s">
        <v>180</v>
      </c>
      <c r="J67" s="218" t="s">
        <v>296</v>
      </c>
      <c r="K67" s="283">
        <v>44574</v>
      </c>
      <c r="L67" s="275"/>
      <c r="M67" s="283">
        <v>44439</v>
      </c>
      <c r="N67" s="283">
        <v>44439</v>
      </c>
      <c r="O67" s="283">
        <v>44439</v>
      </c>
      <c r="P67" s="275" t="s">
        <v>12</v>
      </c>
      <c r="Q67" s="275" t="s">
        <v>18</v>
      </c>
      <c r="V67" s="275"/>
      <c r="X67" s="275"/>
      <c r="Y67" s="275"/>
      <c r="Z67" s="276" t="str">
        <f>VLOOKUP(功能_33[[#This Row],[User]],SKL放款!A:G,7,FALSE)</f>
        <v>放款服務課</v>
      </c>
      <c r="AA67" s="283">
        <v>44496</v>
      </c>
      <c r="AB67" s="283" t="s">
        <v>181</v>
      </c>
      <c r="AC67" s="283">
        <v>44496</v>
      </c>
      <c r="AD67" s="283">
        <v>44496</v>
      </c>
      <c r="AE67" s="283">
        <v>44512</v>
      </c>
      <c r="AF67" s="283" t="s">
        <v>182</v>
      </c>
      <c r="AG67" s="283"/>
      <c r="AH67" s="334"/>
      <c r="AI67" s="283">
        <f>IFERROR(IF(VLOOKUP(功能_33[[#This Row],[功能代號]],E:S,11,FALSE)=0,"",VLOOKUP(功能_33[[#This Row],[功能代號]],E:S,11,FALSE)),"")</f>
        <v>44439</v>
      </c>
      <c r="AJ67" s="283"/>
      <c r="AK67" s="283"/>
      <c r="AL67" s="276"/>
      <c r="AM67" s="276"/>
      <c r="AN67" s="275" t="s">
        <v>176</v>
      </c>
      <c r="AQ67" s="507" t="str">
        <f t="shared" si="6"/>
        <v>3-2</v>
      </c>
      <c r="AR67" s="509" t="str">
        <f t="shared" si="7"/>
        <v/>
      </c>
      <c r="AS67" s="511" t="str">
        <f t="shared" si="8"/>
        <v/>
      </c>
      <c r="AT67" s="513" t="str">
        <f t="shared" si="9"/>
        <v/>
      </c>
      <c r="AU67" s="515" t="str">
        <f t="shared" si="10"/>
        <v/>
      </c>
      <c r="AV67" s="517" t="str">
        <f t="shared" si="11"/>
        <v/>
      </c>
      <c r="AW67" s="589" t="str">
        <f>IFERROR(VLOOKUP(功能_33[[#This Row],[功能代號]],SIT_FT!D:D,1,FALSE),"")</f>
        <v>L3120</v>
      </c>
    </row>
    <row r="68" spans="2:49" ht="13.5" hidden="1" x14ac:dyDescent="0.3">
      <c r="C68" s="276" t="s">
        <v>82</v>
      </c>
      <c r="D68" s="276" t="s">
        <v>2504</v>
      </c>
      <c r="E68" s="275" t="s">
        <v>310</v>
      </c>
      <c r="F68" s="276" t="s">
        <v>311</v>
      </c>
      <c r="G68" s="276"/>
      <c r="H68" s="275" t="s">
        <v>179</v>
      </c>
      <c r="I68" s="275" t="s">
        <v>180</v>
      </c>
      <c r="J68" s="218" t="s">
        <v>2875</v>
      </c>
      <c r="K68" s="283">
        <v>44571</v>
      </c>
      <c r="L68" s="275"/>
      <c r="M68" s="283">
        <v>44439</v>
      </c>
      <c r="N68" s="283">
        <v>44439</v>
      </c>
      <c r="O68" s="283">
        <v>44533</v>
      </c>
      <c r="P68" s="275" t="s">
        <v>12</v>
      </c>
      <c r="Q68" s="275" t="s">
        <v>18</v>
      </c>
      <c r="V68" s="275"/>
      <c r="X68" s="275"/>
      <c r="Y68" s="275"/>
      <c r="Z68" s="276" t="str">
        <f>VLOOKUP(功能_33[[#This Row],[User]],SKL放款!A:G,7,FALSE)</f>
        <v>放款服務課</v>
      </c>
      <c r="AA68" s="283">
        <v>44533</v>
      </c>
      <c r="AB68" s="283">
        <v>44493</v>
      </c>
      <c r="AC68" s="283">
        <v>44523</v>
      </c>
      <c r="AD68" s="283">
        <v>44524</v>
      </c>
      <c r="AE68" s="283">
        <v>44550</v>
      </c>
      <c r="AF68" s="283"/>
      <c r="AG68" s="283"/>
      <c r="AH68" s="334"/>
      <c r="AI68" s="283">
        <f>IFERROR(IF(VLOOKUP(功能_33[[#This Row],[功能代號]],E:S,11,FALSE)=0,"",VLOOKUP(功能_33[[#This Row],[功能代號]],E:S,11,FALSE)),"")</f>
        <v>44533</v>
      </c>
      <c r="AJ68" s="283"/>
      <c r="AK68" s="283"/>
      <c r="AL68" s="276"/>
      <c r="AM68" s="276"/>
      <c r="AN68" s="275" t="s">
        <v>176</v>
      </c>
      <c r="AO68" s="276" t="s">
        <v>176</v>
      </c>
      <c r="AQ68" s="507" t="str">
        <f t="shared" si="6"/>
        <v>6-8</v>
      </c>
      <c r="AR68" s="509" t="str">
        <f t="shared" si="7"/>
        <v/>
      </c>
      <c r="AS68" s="511" t="str">
        <f t="shared" si="8"/>
        <v/>
      </c>
      <c r="AT68" s="513" t="str">
        <f t="shared" si="9"/>
        <v/>
      </c>
      <c r="AU68" s="515" t="str">
        <f t="shared" si="10"/>
        <v/>
      </c>
      <c r="AV68" s="517" t="str">
        <f t="shared" si="11"/>
        <v/>
      </c>
      <c r="AW68" s="589" t="str">
        <f>IFERROR(VLOOKUP(功能_33[[#This Row],[功能代號]],SIT_FT!D:D,1,FALSE),"")</f>
        <v>L6984</v>
      </c>
    </row>
    <row r="69" spans="2:49" ht="13.5" x14ac:dyDescent="0.3">
      <c r="B69" s="276">
        <v>1</v>
      </c>
      <c r="C69" s="276" t="s">
        <v>79</v>
      </c>
      <c r="D69" s="276" t="s">
        <v>2500</v>
      </c>
      <c r="E69" s="275" t="s">
        <v>312</v>
      </c>
      <c r="F69" s="276" t="s">
        <v>313</v>
      </c>
      <c r="G69" s="276"/>
      <c r="H69" s="275" t="s">
        <v>179</v>
      </c>
      <c r="I69" s="275" t="s">
        <v>180</v>
      </c>
      <c r="J69" s="218" t="s">
        <v>3012</v>
      </c>
      <c r="K69" s="283">
        <v>44574</v>
      </c>
      <c r="L69" s="275"/>
      <c r="M69" s="283">
        <v>44440</v>
      </c>
      <c r="N69" s="283">
        <v>44438</v>
      </c>
      <c r="O69" s="283">
        <f>IFERROR(IF(VLOOKUP(功能_33[[#This Row],[功能代號]],討論項目!A:H,8,FALSE)=0,"",VLOOKUP(功能_33[[#This Row],[功能代號]],討論項目!A:H,8,FALSE)),"")</f>
        <v>44428</v>
      </c>
      <c r="P69" s="275" t="s">
        <v>12</v>
      </c>
      <c r="Q69" s="275" t="s">
        <v>18</v>
      </c>
      <c r="V69" s="275"/>
      <c r="X69" s="275"/>
      <c r="Y69" s="275"/>
      <c r="Z69" s="276" t="str">
        <f>VLOOKUP(功能_33[[#This Row],[User]],SKL放款!A:G,7,FALSE)</f>
        <v>放款服務課</v>
      </c>
      <c r="AA69" s="283">
        <v>44496</v>
      </c>
      <c r="AB69" s="283">
        <v>44488</v>
      </c>
      <c r="AC69" s="283">
        <v>44496</v>
      </c>
      <c r="AD69" s="283">
        <v>44496</v>
      </c>
      <c r="AE69" s="283">
        <v>44512</v>
      </c>
      <c r="AF69" s="283" t="s">
        <v>182</v>
      </c>
      <c r="AG69" s="283"/>
      <c r="AH69" s="334"/>
      <c r="AI69" s="283">
        <f>IFERROR(IF(VLOOKUP(功能_33[[#This Row],[功能代號]],E:S,11,FALSE)=0,"",VLOOKUP(功能_33[[#This Row],[功能代號]],E:S,11,FALSE)),"")</f>
        <v>44428</v>
      </c>
      <c r="AJ69" s="283"/>
      <c r="AK69" s="283"/>
      <c r="AL69" s="276"/>
      <c r="AM69" s="217" t="s">
        <v>314</v>
      </c>
      <c r="AN69" s="275">
        <v>325</v>
      </c>
      <c r="AO69" s="276" t="s">
        <v>315</v>
      </c>
      <c r="AQ69" s="507" t="str">
        <f t="shared" si="6"/>
        <v>3-2</v>
      </c>
      <c r="AR69" s="509" t="str">
        <f t="shared" si="7"/>
        <v/>
      </c>
      <c r="AS69" s="511" t="str">
        <f t="shared" si="8"/>
        <v/>
      </c>
      <c r="AT69" s="513" t="str">
        <f t="shared" si="9"/>
        <v/>
      </c>
      <c r="AU69" s="515" t="str">
        <f t="shared" si="10"/>
        <v/>
      </c>
      <c r="AV69" s="517" t="str">
        <f t="shared" si="11"/>
        <v/>
      </c>
      <c r="AW69" s="589" t="str">
        <f>IFERROR(VLOOKUP(功能_33[[#This Row],[功能代號]],SIT_FT!D:D,1,FALSE),"")</f>
        <v>L3100</v>
      </c>
    </row>
    <row r="70" spans="2:49" ht="13.5" x14ac:dyDescent="0.3">
      <c r="B70" s="276">
        <v>1</v>
      </c>
      <c r="C70" s="276" t="s">
        <v>79</v>
      </c>
      <c r="D70" s="276" t="s">
        <v>2500</v>
      </c>
      <c r="E70" s="275" t="s">
        <v>316</v>
      </c>
      <c r="F70" s="276" t="s">
        <v>317</v>
      </c>
      <c r="G70" s="276"/>
      <c r="H70" s="275" t="s">
        <v>179</v>
      </c>
      <c r="I70" s="275" t="s">
        <v>180</v>
      </c>
      <c r="J70" s="218" t="s">
        <v>3012</v>
      </c>
      <c r="K70" s="283">
        <v>44581</v>
      </c>
      <c r="L70" s="275"/>
      <c r="M70" s="283">
        <v>44440</v>
      </c>
      <c r="N70" s="283">
        <v>44438</v>
      </c>
      <c r="O70" s="283">
        <f>IFERROR(IF(VLOOKUP(功能_33[[#This Row],[功能代號]],討論項目!A:H,8,FALSE)=0,"",VLOOKUP(功能_33[[#This Row],[功能代號]],討論項目!A:H,8,FALSE)),"")</f>
        <v>44487</v>
      </c>
      <c r="P70" s="275" t="s">
        <v>12</v>
      </c>
      <c r="Q70" s="275" t="s">
        <v>11</v>
      </c>
      <c r="V70" s="275"/>
      <c r="X70" s="275"/>
      <c r="Y70" s="275"/>
      <c r="Z70" s="276" t="str">
        <f>VLOOKUP(功能_33[[#This Row],[User]],SKL放款!A:G,7,FALSE)</f>
        <v>放款服務課</v>
      </c>
      <c r="AA70" s="283">
        <v>44496</v>
      </c>
      <c r="AB70" s="283">
        <v>44488</v>
      </c>
      <c r="AC70" s="283">
        <v>44496</v>
      </c>
      <c r="AD70" s="283">
        <v>44496</v>
      </c>
      <c r="AE70" s="283">
        <v>44512</v>
      </c>
      <c r="AF70" s="283" t="s">
        <v>182</v>
      </c>
      <c r="AG70" s="283"/>
      <c r="AH70" s="334"/>
      <c r="AI70" s="283">
        <f>IFERROR(IF(VLOOKUP(功能_33[[#This Row],[功能代號]],E:S,11,FALSE)=0,"",VLOOKUP(功能_33[[#This Row],[功能代號]],E:S,11,FALSE)),"")</f>
        <v>44487</v>
      </c>
      <c r="AJ70" s="283"/>
      <c r="AK70" s="283"/>
      <c r="AL70" s="276"/>
      <c r="AM70" s="276"/>
      <c r="AN70" s="275">
        <v>320</v>
      </c>
      <c r="AO70" s="276" t="s">
        <v>318</v>
      </c>
      <c r="AQ70" s="507" t="str">
        <f t="shared" si="6"/>
        <v>3-2</v>
      </c>
      <c r="AR70" s="509" t="str">
        <f t="shared" si="7"/>
        <v/>
      </c>
      <c r="AS70" s="511" t="str">
        <f t="shared" si="8"/>
        <v/>
      </c>
      <c r="AT70" s="513" t="str">
        <f t="shared" si="9"/>
        <v/>
      </c>
      <c r="AU70" s="515" t="str">
        <f t="shared" si="10"/>
        <v/>
      </c>
      <c r="AV70" s="517" t="str">
        <f t="shared" si="11"/>
        <v/>
      </c>
      <c r="AW70" s="589" t="str">
        <f>IFERROR(VLOOKUP(功能_33[[#This Row],[功能代號]],SIT_FT!D:D,1,FALSE),"")</f>
        <v>L3002</v>
      </c>
    </row>
    <row r="71" spans="2:49" ht="13.5" x14ac:dyDescent="0.3">
      <c r="B71" s="276">
        <v>1</v>
      </c>
      <c r="C71" s="276" t="s">
        <v>79</v>
      </c>
      <c r="D71" s="276" t="s">
        <v>2500</v>
      </c>
      <c r="E71" s="275" t="s">
        <v>319</v>
      </c>
      <c r="F71" s="276" t="s">
        <v>320</v>
      </c>
      <c r="G71" s="276"/>
      <c r="H71" s="275" t="s">
        <v>179</v>
      </c>
      <c r="I71" s="275" t="s">
        <v>180</v>
      </c>
      <c r="J71" s="218" t="s">
        <v>3012</v>
      </c>
      <c r="K71" s="283">
        <v>44581</v>
      </c>
      <c r="L71" s="275"/>
      <c r="M71" s="283">
        <v>44440</v>
      </c>
      <c r="N71" s="283">
        <v>44438</v>
      </c>
      <c r="O71" s="283">
        <f>IFERROR(IF(VLOOKUP(功能_33[[#This Row],[功能代號]],討論項目!A:H,8,FALSE)=0,"",VLOOKUP(功能_33[[#This Row],[功能代號]],討論項目!A:H,8,FALSE)),"")</f>
        <v>44487</v>
      </c>
      <c r="P71" s="275" t="s">
        <v>12</v>
      </c>
      <c r="Q71" s="275" t="s">
        <v>11</v>
      </c>
      <c r="V71" s="275"/>
      <c r="X71" s="275"/>
      <c r="Y71" s="275"/>
      <c r="Z71" s="276" t="str">
        <f>VLOOKUP(功能_33[[#This Row],[User]],SKL放款!A:G,7,FALSE)</f>
        <v>放款服務課</v>
      </c>
      <c r="AA71" s="283">
        <v>44496</v>
      </c>
      <c r="AB71" s="283">
        <v>44488</v>
      </c>
      <c r="AC71" s="283">
        <v>44496</v>
      </c>
      <c r="AD71" s="283">
        <v>44496</v>
      </c>
      <c r="AE71" s="283">
        <v>44512</v>
      </c>
      <c r="AF71" s="283" t="s">
        <v>182</v>
      </c>
      <c r="AG71" s="283"/>
      <c r="AH71" s="334"/>
      <c r="AI71" s="283">
        <f>IFERROR(IF(VLOOKUP(功能_33[[#This Row],[功能代號]],E:S,11,FALSE)=0,"",VLOOKUP(功能_33[[#This Row],[功能代號]],E:S,11,FALSE)),"")</f>
        <v>44487</v>
      </c>
      <c r="AJ71" s="283"/>
      <c r="AK71" s="283"/>
      <c r="AL71" s="276"/>
      <c r="AM71" s="276"/>
      <c r="AN71" s="275">
        <v>320</v>
      </c>
      <c r="AO71" s="276" t="s">
        <v>318</v>
      </c>
      <c r="AQ71" s="507" t="str">
        <f t="shared" si="6"/>
        <v>3-2</v>
      </c>
      <c r="AR71" s="509" t="str">
        <f t="shared" si="7"/>
        <v/>
      </c>
      <c r="AS71" s="511" t="str">
        <f t="shared" si="8"/>
        <v/>
      </c>
      <c r="AT71" s="513" t="str">
        <f t="shared" si="9"/>
        <v/>
      </c>
      <c r="AU71" s="515" t="str">
        <f t="shared" si="10"/>
        <v/>
      </c>
      <c r="AV71" s="517" t="str">
        <f t="shared" si="11"/>
        <v/>
      </c>
      <c r="AW71" s="589" t="str">
        <f>IFERROR(VLOOKUP(功能_33[[#This Row],[功能代號]],SIT_FT!D:D,1,FALSE),"")</f>
        <v>L3916</v>
      </c>
    </row>
    <row r="72" spans="2:49" ht="13.5" x14ac:dyDescent="0.3">
      <c r="B72" s="276">
        <v>1</v>
      </c>
      <c r="C72" s="276" t="s">
        <v>79</v>
      </c>
      <c r="D72" s="276" t="s">
        <v>2500</v>
      </c>
      <c r="E72" s="275" t="s">
        <v>321</v>
      </c>
      <c r="F72" s="276" t="s">
        <v>322</v>
      </c>
      <c r="G72" s="276"/>
      <c r="H72" s="275" t="s">
        <v>179</v>
      </c>
      <c r="I72" s="275" t="s">
        <v>180</v>
      </c>
      <c r="J72" s="218" t="s">
        <v>3012</v>
      </c>
      <c r="K72" s="283">
        <v>44581</v>
      </c>
      <c r="L72" s="275"/>
      <c r="M72" s="283">
        <v>44441</v>
      </c>
      <c r="N72" s="283">
        <v>44438</v>
      </c>
      <c r="O72" s="283">
        <v>44438</v>
      </c>
      <c r="P72" s="275" t="s">
        <v>12</v>
      </c>
      <c r="Q72" s="275" t="s">
        <v>11</v>
      </c>
      <c r="V72" s="275"/>
      <c r="X72" s="275"/>
      <c r="Y72" s="275"/>
      <c r="Z72" s="276" t="str">
        <f>VLOOKUP(功能_33[[#This Row],[User]],SKL放款!A:G,7,FALSE)</f>
        <v>放款服務課</v>
      </c>
      <c r="AA72" s="283">
        <v>44496</v>
      </c>
      <c r="AB72" s="283" t="s">
        <v>181</v>
      </c>
      <c r="AC72" s="283">
        <v>44496</v>
      </c>
      <c r="AD72" s="283">
        <v>44496</v>
      </c>
      <c r="AE72" s="283">
        <v>44512</v>
      </c>
      <c r="AF72" s="283" t="s">
        <v>182</v>
      </c>
      <c r="AG72" s="283"/>
      <c r="AH72" s="334"/>
      <c r="AI72" s="283">
        <f>IFERROR(IF(VLOOKUP(功能_33[[#This Row],[功能代號]],E:S,11,FALSE)=0,"",VLOOKUP(功能_33[[#This Row],[功能代號]],E:S,11,FALSE)),"")</f>
        <v>44438</v>
      </c>
      <c r="AJ72" s="283"/>
      <c r="AK72" s="283"/>
      <c r="AL72" s="276"/>
      <c r="AM72" s="276"/>
      <c r="AN72" s="275">
        <v>320</v>
      </c>
      <c r="AO72" s="276" t="s">
        <v>318</v>
      </c>
      <c r="AQ72" s="507" t="str">
        <f t="shared" si="6"/>
        <v>3-2</v>
      </c>
      <c r="AR72" s="509" t="str">
        <f t="shared" si="7"/>
        <v/>
      </c>
      <c r="AS72" s="511" t="str">
        <f t="shared" si="8"/>
        <v/>
      </c>
      <c r="AT72" s="513" t="str">
        <f t="shared" si="9"/>
        <v/>
      </c>
      <c r="AU72" s="515" t="str">
        <f t="shared" si="10"/>
        <v/>
      </c>
      <c r="AV72" s="517" t="str">
        <f t="shared" si="11"/>
        <v/>
      </c>
      <c r="AW72" s="589" t="str">
        <f>IFERROR(VLOOKUP(功能_33[[#This Row],[功能代號]],SIT_FT!D:D,1,FALSE),"")</f>
        <v>L3001</v>
      </c>
    </row>
    <row r="73" spans="2:49" ht="13.5" hidden="1" x14ac:dyDescent="0.3">
      <c r="C73" s="276" t="s">
        <v>78</v>
      </c>
      <c r="D73" s="276" t="s">
        <v>2497</v>
      </c>
      <c r="E73" s="275" t="s">
        <v>323</v>
      </c>
      <c r="F73" s="276" t="s">
        <v>324</v>
      </c>
      <c r="G73" s="276" t="s">
        <v>325</v>
      </c>
      <c r="H73" s="275" t="s">
        <v>179</v>
      </c>
      <c r="I73" s="275" t="s">
        <v>180</v>
      </c>
      <c r="J73" s="218" t="s">
        <v>2864</v>
      </c>
      <c r="K73" s="283">
        <v>44558</v>
      </c>
      <c r="L73" s="283">
        <v>44558</v>
      </c>
      <c r="M73" s="283">
        <v>44441</v>
      </c>
      <c r="N73" s="283">
        <v>44439</v>
      </c>
      <c r="O73" s="283">
        <f>IFERROR(IF(VLOOKUP(功能_33[[#This Row],[功能代號]],討論項目!A:H,8,FALSE)=0,"",VLOOKUP(功能_33[[#This Row],[功能代號]],討論項目!A:H,8,FALSE)),"")</f>
        <v>44469</v>
      </c>
      <c r="P73" s="275" t="s">
        <v>10</v>
      </c>
      <c r="Q73" s="275" t="s">
        <v>22</v>
      </c>
      <c r="R73" s="258" t="s">
        <v>15</v>
      </c>
      <c r="V73" s="275"/>
      <c r="X73" s="275"/>
      <c r="Y73" s="275"/>
      <c r="Z73" s="276" t="str">
        <f>VLOOKUP(功能_33[[#This Row],[User]],SKL放款!A:G,7,FALSE)</f>
        <v>放款服務課</v>
      </c>
      <c r="AA73" s="283">
        <v>44533</v>
      </c>
      <c r="AB73" s="283">
        <v>44470</v>
      </c>
      <c r="AC73" s="283">
        <f>IF(功能_33[[#This Row],[URS交二審]]=0,"",功能_33[[#This Row],[URS交二審]]+7)</f>
        <v>44477</v>
      </c>
      <c r="AD73" s="283">
        <f>IF(功能_33[[#This Row],[URS交二審]]=0,"",功能_33[[#This Row],[URS交二審]]+7)</f>
        <v>44477</v>
      </c>
      <c r="AE73" s="283">
        <v>44546</v>
      </c>
      <c r="AF73" s="283" t="s">
        <v>182</v>
      </c>
      <c r="AG73" s="283"/>
      <c r="AH73" s="334"/>
      <c r="AI73" s="283">
        <f>IFERROR(IF(VLOOKUP(功能_33[[#This Row],[功能代號]],E:S,11,FALSE)=0,"",VLOOKUP(功能_33[[#This Row],[功能代號]],E:S,11,FALSE)),"")</f>
        <v>44469</v>
      </c>
      <c r="AJ73" s="283"/>
      <c r="AK73" s="283"/>
      <c r="AL73" s="276"/>
      <c r="AN73" s="275" t="s">
        <v>176</v>
      </c>
      <c r="AO73" s="275" t="s">
        <v>176</v>
      </c>
      <c r="AQ73" s="507" t="str">
        <f t="shared" si="6"/>
        <v>2-9</v>
      </c>
      <c r="AR73" s="509" t="str">
        <f t="shared" si="7"/>
        <v/>
      </c>
      <c r="AS73" s="511" t="str">
        <f t="shared" si="8"/>
        <v/>
      </c>
      <c r="AT73" s="513" t="str">
        <f t="shared" si="9"/>
        <v/>
      </c>
      <c r="AU73" s="515" t="str">
        <f t="shared" si="10"/>
        <v/>
      </c>
      <c r="AV73" s="517" t="str">
        <f t="shared" si="11"/>
        <v/>
      </c>
      <c r="AW73" s="589" t="str">
        <f>IFERROR(VLOOKUP(功能_33[[#This Row],[功能代號]],SIT_FT!D:D,1,FALSE),"")</f>
        <v>L2060</v>
      </c>
    </row>
    <row r="74" spans="2:49" ht="13.5" hidden="1" x14ac:dyDescent="0.3">
      <c r="C74" s="276" t="s">
        <v>78</v>
      </c>
      <c r="D74" s="276" t="s">
        <v>2497</v>
      </c>
      <c r="E74" s="275" t="s">
        <v>326</v>
      </c>
      <c r="F74" s="276" t="s">
        <v>327</v>
      </c>
      <c r="G74" s="276" t="s">
        <v>328</v>
      </c>
      <c r="H74" s="275" t="s">
        <v>179</v>
      </c>
      <c r="I74" s="275" t="s">
        <v>180</v>
      </c>
      <c r="J74" s="218" t="s">
        <v>2864</v>
      </c>
      <c r="K74" s="283">
        <v>44558</v>
      </c>
      <c r="L74" s="283">
        <v>44558</v>
      </c>
      <c r="M74" s="283">
        <v>44441</v>
      </c>
      <c r="N74" s="283">
        <v>44439</v>
      </c>
      <c r="O74" s="283">
        <f>IFERROR(IF(VLOOKUP(功能_33[[#This Row],[功能代號]],討論項目!A:H,8,FALSE)=0,"",VLOOKUP(功能_33[[#This Row],[功能代號]],討論項目!A:H,8,FALSE)),"")</f>
        <v>44469</v>
      </c>
      <c r="P74" s="275" t="s">
        <v>10</v>
      </c>
      <c r="Q74" s="275" t="s">
        <v>22</v>
      </c>
      <c r="R74" s="258" t="s">
        <v>15</v>
      </c>
      <c r="V74" s="275"/>
      <c r="X74" s="275"/>
      <c r="Y74" s="275"/>
      <c r="Z74" s="276" t="str">
        <f>VLOOKUP(功能_33[[#This Row],[User]],SKL放款!A:G,7,FALSE)</f>
        <v>放款服務課</v>
      </c>
      <c r="AA74" s="283">
        <v>44533</v>
      </c>
      <c r="AB74" s="283">
        <v>44470</v>
      </c>
      <c r="AC74" s="283">
        <f>IF(功能_33[[#This Row],[URS交二審]]=0,"",功能_33[[#This Row],[URS交二審]]+7)</f>
        <v>44477</v>
      </c>
      <c r="AD74" s="283">
        <f>IF(功能_33[[#This Row],[URS交二審]]=0,"",功能_33[[#This Row],[URS交二審]]+7)</f>
        <v>44477</v>
      </c>
      <c r="AE74" s="283">
        <v>44546</v>
      </c>
      <c r="AF74" s="283" t="s">
        <v>182</v>
      </c>
      <c r="AG74" s="283"/>
      <c r="AH74" s="334"/>
      <c r="AI74" s="283">
        <f>IFERROR(IF(VLOOKUP(功能_33[[#This Row],[功能代號]],E:S,11,FALSE)=0,"",VLOOKUP(功能_33[[#This Row],[功能代號]],E:S,11,FALSE)),"")</f>
        <v>44469</v>
      </c>
      <c r="AJ74" s="283"/>
      <c r="AK74" s="283"/>
      <c r="AL74" s="276"/>
      <c r="AN74" s="275" t="s">
        <v>176</v>
      </c>
      <c r="AO74" s="275" t="s">
        <v>176</v>
      </c>
      <c r="AQ74" s="507" t="str">
        <f t="shared" si="6"/>
        <v>2-9</v>
      </c>
      <c r="AR74" s="509" t="str">
        <f t="shared" si="7"/>
        <v/>
      </c>
      <c r="AS74" s="511" t="str">
        <f t="shared" si="8"/>
        <v/>
      </c>
      <c r="AT74" s="513" t="str">
        <f t="shared" si="9"/>
        <v/>
      </c>
      <c r="AU74" s="515" t="str">
        <f t="shared" si="10"/>
        <v/>
      </c>
      <c r="AV74" s="517" t="str">
        <f t="shared" si="11"/>
        <v/>
      </c>
      <c r="AW74" s="589" t="str">
        <f>IFERROR(VLOOKUP(功能_33[[#This Row],[功能代號]],SIT_FT!D:D,1,FALSE),"")</f>
        <v>L2600</v>
      </c>
    </row>
    <row r="75" spans="2:49" ht="13.5" hidden="1" x14ac:dyDescent="0.3">
      <c r="C75" s="276" t="s">
        <v>78</v>
      </c>
      <c r="D75" s="276" t="s">
        <v>2497</v>
      </c>
      <c r="E75" s="275" t="s">
        <v>329</v>
      </c>
      <c r="F75" s="267" t="s">
        <v>330</v>
      </c>
      <c r="G75" s="276" t="s">
        <v>331</v>
      </c>
      <c r="H75" s="275" t="s">
        <v>179</v>
      </c>
      <c r="I75" s="275" t="s">
        <v>180</v>
      </c>
      <c r="J75" s="218" t="s">
        <v>2883</v>
      </c>
      <c r="K75" s="283">
        <v>44565</v>
      </c>
      <c r="L75" s="283">
        <v>44565</v>
      </c>
      <c r="M75" s="283">
        <v>44441</v>
      </c>
      <c r="N75" s="283">
        <v>44439</v>
      </c>
      <c r="O75" s="283">
        <v>44550</v>
      </c>
      <c r="P75" s="275" t="s">
        <v>10</v>
      </c>
      <c r="Q75" s="275" t="s">
        <v>22</v>
      </c>
      <c r="R75" s="258" t="s">
        <v>15</v>
      </c>
      <c r="V75" s="275"/>
      <c r="X75" s="275"/>
      <c r="Y75" s="275"/>
      <c r="Z75" s="276" t="str">
        <f>VLOOKUP(功能_33[[#This Row],[User]],SKL放款!A:G,7,FALSE)</f>
        <v>放款服務課</v>
      </c>
      <c r="AA75" s="221">
        <v>44550</v>
      </c>
      <c r="AB75" s="283" t="s">
        <v>332</v>
      </c>
      <c r="AC75" s="283">
        <v>44550</v>
      </c>
      <c r="AD75" s="269">
        <v>44550</v>
      </c>
      <c r="AE75" s="269">
        <v>44550</v>
      </c>
      <c r="AF75" s="269"/>
      <c r="AG75" s="269"/>
      <c r="AH75" s="269"/>
      <c r="AI75" s="269">
        <f>IFERROR(IF(VLOOKUP(功能_33[[#This Row],[功能代號]],E:S,11,FALSE)=0,"",VLOOKUP(功能_33[[#This Row],[功能代號]],E:S,11,FALSE)),"")</f>
        <v>44550</v>
      </c>
      <c r="AJ75" s="269"/>
      <c r="AK75" s="269"/>
      <c r="AL75" s="276"/>
      <c r="AN75" s="275" t="s">
        <v>176</v>
      </c>
      <c r="AO75" s="275" t="s">
        <v>176</v>
      </c>
      <c r="AQ75" s="507" t="str">
        <f t="shared" si="6"/>
        <v>2-9</v>
      </c>
      <c r="AR75" s="509" t="str">
        <f t="shared" si="7"/>
        <v/>
      </c>
      <c r="AS75" s="511" t="str">
        <f t="shared" si="8"/>
        <v/>
      </c>
      <c r="AT75" s="513" t="str">
        <f t="shared" si="9"/>
        <v/>
      </c>
      <c r="AU75" s="515" t="str">
        <f t="shared" si="10"/>
        <v/>
      </c>
      <c r="AV75" s="517" t="str">
        <f t="shared" si="11"/>
        <v/>
      </c>
      <c r="AW75" s="589" t="str">
        <f>IFERROR(VLOOKUP(功能_33[[#This Row],[功能代號]],SIT_FT!D:D,1,FALSE),"")</f>
        <v>L2604</v>
      </c>
    </row>
    <row r="76" spans="2:49" ht="13.5" hidden="1" x14ac:dyDescent="0.3">
      <c r="C76" s="276" t="s">
        <v>78</v>
      </c>
      <c r="D76" s="276" t="s">
        <v>2497</v>
      </c>
      <c r="E76" s="275" t="s">
        <v>333</v>
      </c>
      <c r="F76" s="267" t="s">
        <v>334</v>
      </c>
      <c r="G76" s="276" t="s">
        <v>331</v>
      </c>
      <c r="H76" s="275" t="s">
        <v>179</v>
      </c>
      <c r="I76" s="275" t="s">
        <v>180</v>
      </c>
      <c r="J76" s="218" t="s">
        <v>2883</v>
      </c>
      <c r="K76" s="283">
        <v>44565</v>
      </c>
      <c r="L76" s="283">
        <v>44565</v>
      </c>
      <c r="M76" s="283">
        <v>44441</v>
      </c>
      <c r="N76" s="283">
        <v>44439</v>
      </c>
      <c r="O76" s="283">
        <v>44550</v>
      </c>
      <c r="P76" s="275" t="s">
        <v>10</v>
      </c>
      <c r="Q76" s="275" t="s">
        <v>22</v>
      </c>
      <c r="R76" s="258" t="s">
        <v>15</v>
      </c>
      <c r="V76" s="275"/>
      <c r="X76" s="275"/>
      <c r="Y76" s="275"/>
      <c r="Z76" s="276" t="str">
        <f>VLOOKUP(功能_33[[#This Row],[User]],SKL放款!A:G,7,FALSE)</f>
        <v>放款服務課</v>
      </c>
      <c r="AA76" s="221">
        <v>44550</v>
      </c>
      <c r="AB76" s="283" t="s">
        <v>332</v>
      </c>
      <c r="AC76" s="283">
        <v>44550</v>
      </c>
      <c r="AD76" s="269">
        <v>44550</v>
      </c>
      <c r="AE76" s="269">
        <v>44550</v>
      </c>
      <c r="AF76" s="269"/>
      <c r="AG76" s="269"/>
      <c r="AH76" s="269"/>
      <c r="AI76" s="269">
        <f>IFERROR(IF(VLOOKUP(功能_33[[#This Row],[功能代號]],E:S,11,FALSE)=0,"",VLOOKUP(功能_33[[#This Row],[功能代號]],E:S,11,FALSE)),"")</f>
        <v>44550</v>
      </c>
      <c r="AJ76" s="269"/>
      <c r="AK76" s="269"/>
      <c r="AL76" s="276"/>
      <c r="AN76" s="275" t="s">
        <v>176</v>
      </c>
      <c r="AO76" s="275" t="s">
        <v>176</v>
      </c>
      <c r="AQ76" s="507" t="str">
        <f t="shared" si="6"/>
        <v>2-9</v>
      </c>
      <c r="AR76" s="509" t="str">
        <f t="shared" si="7"/>
        <v/>
      </c>
      <c r="AS76" s="511" t="str">
        <f t="shared" si="8"/>
        <v/>
      </c>
      <c r="AT76" s="513" t="str">
        <f t="shared" si="9"/>
        <v/>
      </c>
      <c r="AU76" s="515" t="str">
        <f t="shared" si="10"/>
        <v/>
      </c>
      <c r="AV76" s="517" t="str">
        <f t="shared" si="11"/>
        <v/>
      </c>
      <c r="AW76" s="589" t="str">
        <f>IFERROR(VLOOKUP(功能_33[[#This Row],[功能代號]],SIT_FT!D:D,1,FALSE),"")</f>
        <v>L2064</v>
      </c>
    </row>
    <row r="77" spans="2:49" ht="13.5" hidden="1" x14ac:dyDescent="0.3">
      <c r="C77" s="276" t="s">
        <v>82</v>
      </c>
      <c r="D77" s="276" t="s">
        <v>2505</v>
      </c>
      <c r="E77" s="275" t="s">
        <v>335</v>
      </c>
      <c r="F77" s="276" t="s">
        <v>336</v>
      </c>
      <c r="G77" s="276" t="s">
        <v>337</v>
      </c>
      <c r="H77" s="275" t="s">
        <v>179</v>
      </c>
      <c r="I77" s="275" t="s">
        <v>180</v>
      </c>
      <c r="J77" s="218" t="s">
        <v>2875</v>
      </c>
      <c r="K77" s="283">
        <v>44571</v>
      </c>
      <c r="L77" s="275"/>
      <c r="M77" s="283">
        <v>44441</v>
      </c>
      <c r="N77" s="283">
        <v>44439</v>
      </c>
      <c r="O77" s="283">
        <v>44550</v>
      </c>
      <c r="P77" s="275" t="s">
        <v>10</v>
      </c>
      <c r="Q77" s="275" t="s">
        <v>22</v>
      </c>
      <c r="R77" s="258" t="s">
        <v>15</v>
      </c>
      <c r="V77" s="275"/>
      <c r="X77" s="275"/>
      <c r="Y77" s="275"/>
      <c r="Z77" s="276" t="str">
        <f>VLOOKUP(功能_33[[#This Row],[User]],SKL放款!A:G,7,FALSE)</f>
        <v>放款服務課</v>
      </c>
      <c r="AA77" s="283">
        <v>44547</v>
      </c>
      <c r="AB77" s="283" t="s">
        <v>332</v>
      </c>
      <c r="AC77" s="268">
        <v>44550</v>
      </c>
      <c r="AD77" s="269">
        <v>44550</v>
      </c>
      <c r="AE77" s="283">
        <v>44550</v>
      </c>
      <c r="AF77" s="269"/>
      <c r="AG77" s="269"/>
      <c r="AH77" s="269"/>
      <c r="AI77" s="269">
        <f>IFERROR(IF(VLOOKUP(功能_33[[#This Row],[功能代號]],E:S,11,FALSE)=0,"",VLOOKUP(功能_33[[#This Row],[功能代號]],E:S,11,FALSE)),"")</f>
        <v>44550</v>
      </c>
      <c r="AJ77" s="269"/>
      <c r="AK77" s="269"/>
      <c r="AL77" s="276"/>
      <c r="AN77" s="275" t="s">
        <v>176</v>
      </c>
      <c r="AO77" s="275" t="s">
        <v>176</v>
      </c>
      <c r="AQ77" s="507" t="str">
        <f t="shared" si="6"/>
        <v>6-6</v>
      </c>
      <c r="AR77" s="509" t="str">
        <f t="shared" si="7"/>
        <v/>
      </c>
      <c r="AS77" s="511" t="str">
        <f t="shared" si="8"/>
        <v/>
      </c>
      <c r="AT77" s="513" t="str">
        <f t="shared" si="9"/>
        <v/>
      </c>
      <c r="AU77" s="515" t="str">
        <f t="shared" si="10"/>
        <v/>
      </c>
      <c r="AV77" s="517" t="str">
        <f t="shared" si="11"/>
        <v/>
      </c>
      <c r="AW77" s="589" t="str">
        <f>IFERROR(VLOOKUP(功能_33[[#This Row],[功能代號]],SIT_FT!D:D,1,FALSE),"")</f>
        <v>L6022</v>
      </c>
    </row>
    <row r="78" spans="2:49" ht="13.5" hidden="1" x14ac:dyDescent="0.3">
      <c r="C78" s="276" t="s">
        <v>82</v>
      </c>
      <c r="D78" s="276" t="s">
        <v>2505</v>
      </c>
      <c r="E78" s="275" t="s">
        <v>338</v>
      </c>
      <c r="F78" s="276" t="s">
        <v>339</v>
      </c>
      <c r="G78" s="276" t="s">
        <v>337</v>
      </c>
      <c r="H78" s="275" t="s">
        <v>179</v>
      </c>
      <c r="I78" s="275" t="s">
        <v>180</v>
      </c>
      <c r="J78" s="218" t="s">
        <v>2875</v>
      </c>
      <c r="K78" s="283">
        <v>44571</v>
      </c>
      <c r="L78" s="275"/>
      <c r="M78" s="283">
        <v>44441</v>
      </c>
      <c r="N78" s="283">
        <v>44439</v>
      </c>
      <c r="O78" s="283">
        <v>44550</v>
      </c>
      <c r="P78" s="275" t="s">
        <v>10</v>
      </c>
      <c r="Q78" s="275" t="s">
        <v>22</v>
      </c>
      <c r="R78" s="258" t="s">
        <v>15</v>
      </c>
      <c r="V78" s="275"/>
      <c r="X78" s="275"/>
      <c r="Y78" s="275"/>
      <c r="Z78" s="276" t="str">
        <f>VLOOKUP(功能_33[[#This Row],[User]],SKL放款!A:G,7,FALSE)</f>
        <v>放款服務課</v>
      </c>
      <c r="AA78" s="283">
        <v>44547</v>
      </c>
      <c r="AB78" s="283" t="s">
        <v>332</v>
      </c>
      <c r="AC78" s="268">
        <v>44550</v>
      </c>
      <c r="AD78" s="269">
        <v>44550</v>
      </c>
      <c r="AE78" s="283">
        <v>44550</v>
      </c>
      <c r="AF78" s="269"/>
      <c r="AG78" s="269"/>
      <c r="AH78" s="269"/>
      <c r="AI78" s="269">
        <f>IFERROR(IF(VLOOKUP(功能_33[[#This Row],[功能代號]],E:S,11,FALSE)=0,"",VLOOKUP(功能_33[[#This Row],[功能代號]],E:S,11,FALSE)),"")</f>
        <v>44550</v>
      </c>
      <c r="AJ78" s="269"/>
      <c r="AK78" s="269"/>
      <c r="AL78" s="276"/>
      <c r="AN78" s="275" t="s">
        <v>176</v>
      </c>
      <c r="AO78" s="275" t="s">
        <v>176</v>
      </c>
      <c r="AQ78" s="507" t="str">
        <f t="shared" si="6"/>
        <v>6-6</v>
      </c>
      <c r="AR78" s="509" t="str">
        <f t="shared" si="7"/>
        <v/>
      </c>
      <c r="AS78" s="511" t="str">
        <f t="shared" si="8"/>
        <v/>
      </c>
      <c r="AT78" s="513" t="str">
        <f t="shared" si="9"/>
        <v/>
      </c>
      <c r="AU78" s="515" t="str">
        <f t="shared" si="10"/>
        <v/>
      </c>
      <c r="AV78" s="517" t="str">
        <f t="shared" si="11"/>
        <v/>
      </c>
      <c r="AW78" s="589" t="str">
        <f>IFERROR(VLOOKUP(功能_33[[#This Row],[功能代號]],SIT_FT!D:D,1,FALSE),"")</f>
        <v>L6202</v>
      </c>
    </row>
    <row r="79" spans="2:49" ht="13.5" hidden="1" x14ac:dyDescent="0.3">
      <c r="B79" s="276">
        <v>1</v>
      </c>
      <c r="C79" s="276" t="s">
        <v>79</v>
      </c>
      <c r="D79" s="276" t="s">
        <v>2500</v>
      </c>
      <c r="E79" s="275" t="s">
        <v>340</v>
      </c>
      <c r="F79" s="276" t="s">
        <v>341</v>
      </c>
      <c r="G79" s="276"/>
      <c r="H79" s="275" t="s">
        <v>179</v>
      </c>
      <c r="I79" s="275" t="s">
        <v>180</v>
      </c>
      <c r="J79" s="218" t="s">
        <v>296</v>
      </c>
      <c r="K79" s="283">
        <v>44581</v>
      </c>
      <c r="L79" s="275"/>
      <c r="M79" s="283">
        <v>44442</v>
      </c>
      <c r="N79" s="283">
        <v>44439</v>
      </c>
      <c r="O79" s="283">
        <f>IFERROR(IF(VLOOKUP(功能_33[[#This Row],[功能代號]],討論項目!A:H,8,FALSE)=0,"",VLOOKUP(功能_33[[#This Row],[功能代號]],討論項目!A:H,8,FALSE)),"")</f>
        <v>44487</v>
      </c>
      <c r="P79" s="275" t="s">
        <v>7</v>
      </c>
      <c r="Q79" s="275" t="s">
        <v>11</v>
      </c>
      <c r="V79" s="275"/>
      <c r="X79" s="275"/>
      <c r="Y79" s="275"/>
      <c r="Z79" s="276" t="str">
        <f>VLOOKUP(功能_33[[#This Row],[User]],SKL放款!A:G,7,FALSE)</f>
        <v>放款服務課</v>
      </c>
      <c r="AA79" s="283">
        <v>44496</v>
      </c>
      <c r="AB79" s="283">
        <v>44488</v>
      </c>
      <c r="AC79" s="283">
        <v>44496</v>
      </c>
      <c r="AD79" s="283">
        <v>44496</v>
      </c>
      <c r="AE79" s="283">
        <v>44512</v>
      </c>
      <c r="AF79" s="283" t="s">
        <v>182</v>
      </c>
      <c r="AG79" s="283"/>
      <c r="AH79" s="334"/>
      <c r="AI79" s="283">
        <f>IFERROR(IF(VLOOKUP(功能_33[[#This Row],[功能代號]],E:S,11,FALSE)=0,"",VLOOKUP(功能_33[[#This Row],[功能代號]],E:S,11,FALSE)),"")</f>
        <v>44487</v>
      </c>
      <c r="AJ79" s="283"/>
      <c r="AK79" s="283"/>
      <c r="AL79" s="276"/>
      <c r="AM79" s="337">
        <v>44491</v>
      </c>
      <c r="AN79" s="275">
        <v>315</v>
      </c>
      <c r="AO79" s="276" t="s">
        <v>342</v>
      </c>
      <c r="AQ79" s="507" t="str">
        <f t="shared" si="6"/>
        <v>3-2</v>
      </c>
      <c r="AR79" s="509" t="str">
        <f t="shared" si="7"/>
        <v/>
      </c>
      <c r="AS79" s="511" t="str">
        <f t="shared" si="8"/>
        <v/>
      </c>
      <c r="AT79" s="513" t="str">
        <f t="shared" si="9"/>
        <v/>
      </c>
      <c r="AU79" s="515" t="str">
        <f t="shared" si="10"/>
        <v/>
      </c>
      <c r="AV79" s="517" t="str">
        <f t="shared" si="11"/>
        <v/>
      </c>
      <c r="AW79" s="589" t="str">
        <f>IFERROR(VLOOKUP(功能_33[[#This Row],[功能代號]],SIT_FT!D:D,1,FALSE),"")</f>
        <v>L3912</v>
      </c>
    </row>
    <row r="80" spans="2:49" ht="13.5" hidden="1" x14ac:dyDescent="0.3">
      <c r="B80" s="276">
        <v>1</v>
      </c>
      <c r="C80" s="276" t="s">
        <v>79</v>
      </c>
      <c r="D80" s="276" t="s">
        <v>2500</v>
      </c>
      <c r="E80" s="275" t="s">
        <v>343</v>
      </c>
      <c r="F80" s="276" t="s">
        <v>344</v>
      </c>
      <c r="G80" s="276"/>
      <c r="H80" s="275" t="s">
        <v>179</v>
      </c>
      <c r="I80" s="275" t="s">
        <v>180</v>
      </c>
      <c r="J80" s="218" t="s">
        <v>296</v>
      </c>
      <c r="K80" s="283">
        <v>44581</v>
      </c>
      <c r="L80" s="275"/>
      <c r="M80" s="283">
        <v>44442</v>
      </c>
      <c r="N80" s="283">
        <v>44439</v>
      </c>
      <c r="O80" s="283">
        <f>IFERROR(IF(VLOOKUP(功能_33[[#This Row],[功能代號]],討論項目!A:H,8,FALSE)=0,"",VLOOKUP(功能_33[[#This Row],[功能代號]],討論項目!A:H,8,FALSE)),"")</f>
        <v>44487</v>
      </c>
      <c r="P80" s="275" t="s">
        <v>7</v>
      </c>
      <c r="Q80" s="275" t="s">
        <v>11</v>
      </c>
      <c r="R80" s="258" t="s">
        <v>14</v>
      </c>
      <c r="V80" s="275"/>
      <c r="X80" s="275"/>
      <c r="Y80" s="275"/>
      <c r="Z80" s="276" t="str">
        <f>VLOOKUP(功能_33[[#This Row],[User]],SKL放款!A:G,7,FALSE)</f>
        <v>放款服務課</v>
      </c>
      <c r="AA80" s="283">
        <v>44496</v>
      </c>
      <c r="AB80" s="283">
        <v>44488</v>
      </c>
      <c r="AC80" s="283">
        <v>44496</v>
      </c>
      <c r="AD80" s="283">
        <v>44496</v>
      </c>
      <c r="AE80" s="283">
        <v>44512</v>
      </c>
      <c r="AF80" s="283" t="s">
        <v>182</v>
      </c>
      <c r="AG80" s="283"/>
      <c r="AH80" s="334"/>
      <c r="AI80" s="283">
        <f>IFERROR(IF(VLOOKUP(功能_33[[#This Row],[功能代號]],E:S,11,FALSE)=0,"",VLOOKUP(功能_33[[#This Row],[功能代號]],E:S,11,FALSE)),"")</f>
        <v>44487</v>
      </c>
      <c r="AJ80" s="283"/>
      <c r="AK80" s="283"/>
      <c r="AL80" s="276"/>
      <c r="AM80" s="276"/>
      <c r="AN80" s="275">
        <v>315</v>
      </c>
      <c r="AO80" s="276" t="s">
        <v>342</v>
      </c>
      <c r="AQ80" s="507" t="str">
        <f t="shared" si="6"/>
        <v>3-2</v>
      </c>
      <c r="AR80" s="509" t="str">
        <f t="shared" si="7"/>
        <v/>
      </c>
      <c r="AS80" s="511" t="str">
        <f t="shared" si="8"/>
        <v/>
      </c>
      <c r="AT80" s="513" t="str">
        <f t="shared" si="9"/>
        <v/>
      </c>
      <c r="AU80" s="515" t="str">
        <f t="shared" si="10"/>
        <v/>
      </c>
      <c r="AV80" s="517" t="str">
        <f t="shared" si="11"/>
        <v/>
      </c>
      <c r="AW80" s="589" t="str">
        <f>IFERROR(VLOOKUP(功能_33[[#This Row],[功能代號]],SIT_FT!D:D,1,FALSE),"")</f>
        <v>L3005</v>
      </c>
    </row>
    <row r="81" spans="2:49" ht="13.5" hidden="1" x14ac:dyDescent="0.3">
      <c r="B81" s="276">
        <v>1</v>
      </c>
      <c r="C81" s="276" t="s">
        <v>79</v>
      </c>
      <c r="D81" s="276" t="s">
        <v>2501</v>
      </c>
      <c r="E81" s="275" t="s">
        <v>345</v>
      </c>
      <c r="F81" s="276" t="s">
        <v>346</v>
      </c>
      <c r="G81" s="276"/>
      <c r="H81" s="275" t="s">
        <v>179</v>
      </c>
      <c r="I81" s="275" t="s">
        <v>180</v>
      </c>
      <c r="J81" s="218" t="s">
        <v>296</v>
      </c>
      <c r="K81" s="283">
        <v>44581</v>
      </c>
      <c r="L81" s="275"/>
      <c r="M81" s="283">
        <v>44442</v>
      </c>
      <c r="N81" s="283">
        <v>44439</v>
      </c>
      <c r="O81" s="283">
        <v>44439</v>
      </c>
      <c r="P81" s="275" t="s">
        <v>7</v>
      </c>
      <c r="Q81" s="275" t="s">
        <v>11</v>
      </c>
      <c r="V81" s="275"/>
      <c r="X81" s="275"/>
      <c r="Y81" s="275"/>
      <c r="Z81" s="276" t="str">
        <f>VLOOKUP(功能_33[[#This Row],[User]],SKL放款!A:G,7,FALSE)</f>
        <v>放款服務課</v>
      </c>
      <c r="AA81" s="283">
        <v>44496</v>
      </c>
      <c r="AB81" s="283">
        <v>44488</v>
      </c>
      <c r="AC81" s="283">
        <v>44496</v>
      </c>
      <c r="AD81" s="283">
        <v>44496</v>
      </c>
      <c r="AE81" s="283">
        <v>44512</v>
      </c>
      <c r="AF81" s="283" t="s">
        <v>182</v>
      </c>
      <c r="AG81" s="283"/>
      <c r="AH81" s="334"/>
      <c r="AI81" s="283">
        <f>IFERROR(IF(VLOOKUP(功能_33[[#This Row],[功能代號]],E:S,11,FALSE)=0,"",VLOOKUP(功能_33[[#This Row],[功能代號]],E:S,11,FALSE)),"")</f>
        <v>44439</v>
      </c>
      <c r="AJ81" s="283"/>
      <c r="AK81" s="283"/>
      <c r="AL81" s="276"/>
      <c r="AM81" s="276"/>
      <c r="AN81" s="275">
        <v>350</v>
      </c>
      <c r="AO81" s="276" t="s">
        <v>347</v>
      </c>
      <c r="AQ81" s="507" t="str">
        <f t="shared" si="6"/>
        <v>3-5</v>
      </c>
      <c r="AR81" s="509" t="str">
        <f t="shared" si="7"/>
        <v/>
      </c>
      <c r="AS81" s="511" t="str">
        <f t="shared" si="8"/>
        <v/>
      </c>
      <c r="AT81" s="513" t="str">
        <f t="shared" si="9"/>
        <v/>
      </c>
      <c r="AU81" s="515" t="str">
        <f t="shared" si="10"/>
        <v/>
      </c>
      <c r="AV81" s="517" t="str">
        <f t="shared" si="11"/>
        <v/>
      </c>
      <c r="AW81" s="589" t="str">
        <f>IFERROR(VLOOKUP(功能_33[[#This Row],[功能代號]],SIT_FT!D:D,1,FALSE),"")</f>
        <v>L3932</v>
      </c>
    </row>
    <row r="82" spans="2:49" ht="13.5" hidden="1" x14ac:dyDescent="0.3">
      <c r="B82" s="276">
        <v>1</v>
      </c>
      <c r="C82" s="276" t="s">
        <v>79</v>
      </c>
      <c r="D82" s="276" t="s">
        <v>2501</v>
      </c>
      <c r="E82" s="275" t="s">
        <v>348</v>
      </c>
      <c r="F82" s="276" t="s">
        <v>349</v>
      </c>
      <c r="G82" s="276"/>
      <c r="H82" s="275" t="s">
        <v>179</v>
      </c>
      <c r="I82" s="275" t="s">
        <v>180</v>
      </c>
      <c r="J82" s="218" t="s">
        <v>296</v>
      </c>
      <c r="K82" s="283">
        <v>44575</v>
      </c>
      <c r="L82" s="275"/>
      <c r="M82" s="283">
        <v>44442</v>
      </c>
      <c r="N82" s="283">
        <v>44439</v>
      </c>
      <c r="O82" s="283">
        <f>IFERROR(IF(VLOOKUP(功能_33[[#This Row],[功能代號]],討論項目!A:H,8,FALSE)=0,"",VLOOKUP(功能_33[[#This Row],[功能代號]],討論項目!A:H,8,FALSE)),"")</f>
        <v>44487</v>
      </c>
      <c r="P82" s="275" t="s">
        <v>7</v>
      </c>
      <c r="Q82" s="275" t="s">
        <v>11</v>
      </c>
      <c r="V82" s="275"/>
      <c r="X82" s="275"/>
      <c r="Y82" s="275"/>
      <c r="Z82" s="276" t="str">
        <f>VLOOKUP(功能_33[[#This Row],[User]],SKL放款!A:G,7,FALSE)</f>
        <v>放款服務課</v>
      </c>
      <c r="AA82" s="283">
        <v>44496</v>
      </c>
      <c r="AB82" s="283">
        <v>44488</v>
      </c>
      <c r="AC82" s="283">
        <v>44496</v>
      </c>
      <c r="AD82" s="283">
        <v>44496</v>
      </c>
      <c r="AE82" s="283">
        <v>44512</v>
      </c>
      <c r="AF82" s="283" t="s">
        <v>182</v>
      </c>
      <c r="AG82" s="283"/>
      <c r="AH82" s="334"/>
      <c r="AI82" s="283">
        <f>IFERROR(IF(VLOOKUP(功能_33[[#This Row],[功能代號]],E:S,11,FALSE)=0,"",VLOOKUP(功能_33[[#This Row],[功能代號]],E:S,11,FALSE)),"")</f>
        <v>44487</v>
      </c>
      <c r="AJ82" s="283"/>
      <c r="AK82" s="283"/>
      <c r="AL82" s="276"/>
      <c r="AM82" s="276"/>
      <c r="AN82" s="275">
        <v>351</v>
      </c>
      <c r="AO82" s="276" t="s">
        <v>350</v>
      </c>
      <c r="AQ82" s="507" t="str">
        <f t="shared" si="6"/>
        <v>3-5</v>
      </c>
      <c r="AR82" s="509" t="str">
        <f t="shared" si="7"/>
        <v/>
      </c>
      <c r="AS82" s="511" t="str">
        <f t="shared" si="8"/>
        <v/>
      </c>
      <c r="AT82" s="513" t="str">
        <f t="shared" si="9"/>
        <v/>
      </c>
      <c r="AU82" s="515" t="str">
        <f t="shared" si="10"/>
        <v/>
      </c>
      <c r="AV82" s="517" t="str">
        <f t="shared" si="11"/>
        <v/>
      </c>
      <c r="AW82" s="589" t="str">
        <f>IFERROR(VLOOKUP(功能_33[[#This Row],[功能代號]],SIT_FT!D:D,1,FALSE),"")</f>
        <v>L3721</v>
      </c>
    </row>
    <row r="83" spans="2:49" ht="13.5" x14ac:dyDescent="0.3">
      <c r="B83" s="276">
        <v>1</v>
      </c>
      <c r="C83" s="276" t="s">
        <v>79</v>
      </c>
      <c r="D83" s="276" t="s">
        <v>2501</v>
      </c>
      <c r="E83" s="275" t="s">
        <v>351</v>
      </c>
      <c r="F83" s="276" t="s">
        <v>352</v>
      </c>
      <c r="G83" s="276"/>
      <c r="H83" s="275" t="s">
        <v>179</v>
      </c>
      <c r="I83" s="275" t="s">
        <v>180</v>
      </c>
      <c r="J83" s="218" t="s">
        <v>3012</v>
      </c>
      <c r="K83" s="283">
        <v>44575</v>
      </c>
      <c r="L83" s="275"/>
      <c r="M83" s="283">
        <v>44442</v>
      </c>
      <c r="N83" s="283">
        <v>44439</v>
      </c>
      <c r="O83" s="283">
        <v>44439</v>
      </c>
      <c r="P83" s="275" t="s">
        <v>12</v>
      </c>
      <c r="Q83" s="275" t="s">
        <v>11</v>
      </c>
      <c r="V83" s="275"/>
      <c r="X83" s="275"/>
      <c r="Y83" s="275"/>
      <c r="Z83" s="276" t="str">
        <f>VLOOKUP(功能_33[[#This Row],[User]],SKL放款!A:G,7,FALSE)</f>
        <v>放款服務課</v>
      </c>
      <c r="AA83" s="283">
        <v>44496</v>
      </c>
      <c r="AB83" s="283">
        <v>44488</v>
      </c>
      <c r="AC83" s="283">
        <v>44497</v>
      </c>
      <c r="AD83" s="283">
        <v>44497</v>
      </c>
      <c r="AE83" s="283">
        <v>44512</v>
      </c>
      <c r="AF83" s="283" t="s">
        <v>182</v>
      </c>
      <c r="AG83" s="283"/>
      <c r="AH83" s="334"/>
      <c r="AI83" s="283">
        <f>IFERROR(IF(VLOOKUP(功能_33[[#This Row],[功能代號]],E:S,11,FALSE)=0,"",VLOOKUP(功能_33[[#This Row],[功能代號]],E:S,11,FALSE)),"")</f>
        <v>44439</v>
      </c>
      <c r="AJ83" s="283"/>
      <c r="AK83" s="283"/>
      <c r="AL83" s="276"/>
      <c r="AM83" s="276"/>
      <c r="AN83" s="275">
        <v>321</v>
      </c>
      <c r="AO83" s="276" t="s">
        <v>353</v>
      </c>
      <c r="AQ83" s="507" t="str">
        <f t="shared" si="6"/>
        <v>3-5</v>
      </c>
      <c r="AR83" s="509" t="str">
        <f t="shared" si="7"/>
        <v/>
      </c>
      <c r="AS83" s="511" t="str">
        <f t="shared" si="8"/>
        <v/>
      </c>
      <c r="AT83" s="513" t="str">
        <f t="shared" si="9"/>
        <v/>
      </c>
      <c r="AU83" s="515" t="str">
        <f t="shared" si="10"/>
        <v/>
      </c>
      <c r="AV83" s="517" t="str">
        <f t="shared" si="11"/>
        <v/>
      </c>
      <c r="AW83" s="589" t="str">
        <f>IFERROR(VLOOKUP(功能_33[[#This Row],[功能代號]],SIT_FT!D:D,1,FALSE),"")</f>
        <v>L3701</v>
      </c>
    </row>
    <row r="84" spans="2:49" ht="54" hidden="1" x14ac:dyDescent="0.3">
      <c r="C84" s="276" t="s">
        <v>80</v>
      </c>
      <c r="D84" s="276" t="s">
        <v>354</v>
      </c>
      <c r="E84" s="275" t="s">
        <v>355</v>
      </c>
      <c r="F84" s="276" t="s">
        <v>356</v>
      </c>
      <c r="G84" s="276"/>
      <c r="H84" s="275" t="s">
        <v>179</v>
      </c>
      <c r="I84" s="275" t="s">
        <v>180</v>
      </c>
      <c r="J84" s="218" t="s">
        <v>2606</v>
      </c>
      <c r="K84" s="283">
        <v>44582</v>
      </c>
      <c r="L84" s="275"/>
      <c r="M84" s="283">
        <v>44438</v>
      </c>
      <c r="N84" s="283">
        <v>44438</v>
      </c>
      <c r="O84" s="283">
        <v>44533</v>
      </c>
      <c r="P84" s="275" t="s">
        <v>12</v>
      </c>
      <c r="Q84" s="275" t="s">
        <v>18</v>
      </c>
      <c r="V84" s="275"/>
      <c r="X84" s="275"/>
      <c r="Y84" s="275"/>
      <c r="Z84" s="276" t="str">
        <f>VLOOKUP(功能_33[[#This Row],[User]],SKL放款!A:G,7,FALSE)</f>
        <v>放款服務課</v>
      </c>
      <c r="AA84" s="283">
        <v>44533</v>
      </c>
      <c r="AB84" s="283">
        <v>44515</v>
      </c>
      <c r="AC84" s="283">
        <v>44523</v>
      </c>
      <c r="AD84" s="283">
        <v>44524</v>
      </c>
      <c r="AE84" s="283">
        <v>44539</v>
      </c>
      <c r="AF84" s="283"/>
      <c r="AG84" s="283"/>
      <c r="AH84" s="334"/>
      <c r="AI84" s="283">
        <f>IFERROR(IF(VLOOKUP(功能_33[[#This Row],[功能代號]],E:S,11,FALSE)=0,"",VLOOKUP(功能_33[[#This Row],[功能代號]],E:S,11,FALSE)),"")</f>
        <v>44533</v>
      </c>
      <c r="AJ84" s="283"/>
      <c r="AK84" s="283"/>
      <c r="AL84" s="276"/>
      <c r="AM84" s="276"/>
      <c r="AN84" s="540" t="s">
        <v>2679</v>
      </c>
      <c r="AO84" s="212" t="s">
        <v>2680</v>
      </c>
      <c r="AQ84" s="507" t="str">
        <f t="shared" si="6"/>
        <v>4-1</v>
      </c>
      <c r="AR84" s="509" t="str">
        <f t="shared" si="7"/>
        <v/>
      </c>
      <c r="AS84" s="511" t="str">
        <f t="shared" si="8"/>
        <v/>
      </c>
      <c r="AT84" s="513" t="str">
        <f t="shared" si="9"/>
        <v/>
      </c>
      <c r="AU84" s="515" t="str">
        <f t="shared" si="10"/>
        <v/>
      </c>
      <c r="AV84" s="517" t="str">
        <f t="shared" si="11"/>
        <v/>
      </c>
      <c r="AW84" s="589" t="str">
        <f>IFERROR(VLOOKUP(功能_33[[#This Row],[功能代號]],SIT_FT!D:D,1,FALSE),"")</f>
        <v>L4101</v>
      </c>
    </row>
    <row r="85" spans="2:49" ht="13.5" hidden="1" x14ac:dyDescent="0.3">
      <c r="C85" s="276" t="s">
        <v>80</v>
      </c>
      <c r="D85" s="276" t="s">
        <v>354</v>
      </c>
      <c r="E85" s="275" t="s">
        <v>357</v>
      </c>
      <c r="F85" s="276" t="s">
        <v>358</v>
      </c>
      <c r="G85" s="276"/>
      <c r="H85" s="275" t="s">
        <v>179</v>
      </c>
      <c r="I85" s="275" t="s">
        <v>180</v>
      </c>
      <c r="J85" s="218" t="s">
        <v>2606</v>
      </c>
      <c r="K85" s="283">
        <v>44582</v>
      </c>
      <c r="L85" s="275"/>
      <c r="M85" s="283">
        <v>44438</v>
      </c>
      <c r="N85" s="283">
        <v>44438</v>
      </c>
      <c r="O85" s="283">
        <v>44523</v>
      </c>
      <c r="P85" s="275" t="s">
        <v>12</v>
      </c>
      <c r="Q85" s="275" t="s">
        <v>18</v>
      </c>
      <c r="V85" s="275"/>
      <c r="X85" s="275"/>
      <c r="Y85" s="275"/>
      <c r="Z85" s="276" t="str">
        <f>VLOOKUP(功能_33[[#This Row],[User]],SKL放款!A:G,7,FALSE)</f>
        <v>放款服務課</v>
      </c>
      <c r="AA85" s="283">
        <v>44533</v>
      </c>
      <c r="AB85" s="283" t="s">
        <v>181</v>
      </c>
      <c r="AC85" s="283">
        <v>44523</v>
      </c>
      <c r="AD85" s="283">
        <v>44524</v>
      </c>
      <c r="AE85" s="283">
        <v>44539</v>
      </c>
      <c r="AF85" s="283"/>
      <c r="AG85" s="283"/>
      <c r="AH85" s="334"/>
      <c r="AI85" s="283">
        <f>IFERROR(IF(VLOOKUP(功能_33[[#This Row],[功能代號]],E:S,11,FALSE)=0,"",VLOOKUP(功能_33[[#This Row],[功能代號]],E:S,11,FALSE)),"")</f>
        <v>44523</v>
      </c>
      <c r="AJ85" s="283"/>
      <c r="AK85" s="283"/>
      <c r="AL85" s="276"/>
      <c r="AM85" s="276"/>
      <c r="AN85" s="220" t="s">
        <v>2681</v>
      </c>
      <c r="AO85" s="220" t="s">
        <v>2681</v>
      </c>
      <c r="AQ85" s="507" t="str">
        <f t="shared" si="6"/>
        <v>4-1</v>
      </c>
      <c r="AR85" s="509" t="str">
        <f t="shared" si="7"/>
        <v/>
      </c>
      <c r="AS85" s="511" t="str">
        <f t="shared" si="8"/>
        <v/>
      </c>
      <c r="AT85" s="513" t="str">
        <f t="shared" si="9"/>
        <v/>
      </c>
      <c r="AU85" s="515" t="str">
        <f t="shared" si="10"/>
        <v/>
      </c>
      <c r="AV85" s="517" t="str">
        <f t="shared" si="11"/>
        <v/>
      </c>
      <c r="AW85" s="589" t="str">
        <f>IFERROR(VLOOKUP(功能_33[[#This Row],[功能代號]],SIT_FT!D:D,1,FALSE),"")</f>
        <v>L4001</v>
      </c>
    </row>
    <row r="86" spans="2:49" ht="13.5" hidden="1" x14ac:dyDescent="0.3">
      <c r="C86" s="276" t="s">
        <v>80</v>
      </c>
      <c r="D86" s="276" t="s">
        <v>354</v>
      </c>
      <c r="E86" s="275" t="s">
        <v>359</v>
      </c>
      <c r="F86" s="276" t="s">
        <v>360</v>
      </c>
      <c r="G86" s="276"/>
      <c r="H86" s="275" t="s">
        <v>179</v>
      </c>
      <c r="I86" s="275" t="s">
        <v>180</v>
      </c>
      <c r="J86" s="218" t="s">
        <v>2606</v>
      </c>
      <c r="K86" s="283">
        <v>44582</v>
      </c>
      <c r="L86" s="275"/>
      <c r="M86" s="283">
        <v>44438</v>
      </c>
      <c r="N86" s="283">
        <v>44438</v>
      </c>
      <c r="O86" s="283">
        <v>44523</v>
      </c>
      <c r="P86" s="275" t="s">
        <v>12</v>
      </c>
      <c r="Q86" s="275" t="s">
        <v>18</v>
      </c>
      <c r="V86" s="275"/>
      <c r="X86" s="275"/>
      <c r="Y86" s="275"/>
      <c r="Z86" s="276" t="str">
        <f>VLOOKUP(功能_33[[#This Row],[User]],SKL放款!A:G,7,FALSE)</f>
        <v>放款服務課</v>
      </c>
      <c r="AA86" s="283">
        <v>44533</v>
      </c>
      <c r="AB86" s="283" t="s">
        <v>181</v>
      </c>
      <c r="AC86" s="283">
        <v>44523</v>
      </c>
      <c r="AD86" s="283">
        <v>44524</v>
      </c>
      <c r="AE86" s="283">
        <v>44539</v>
      </c>
      <c r="AF86" s="283"/>
      <c r="AG86" s="283"/>
      <c r="AH86" s="334"/>
      <c r="AI86" s="283">
        <f>IFERROR(IF(VLOOKUP(功能_33[[#This Row],[功能代號]],E:S,11,FALSE)=0,"",VLOOKUP(功能_33[[#This Row],[功能代號]],E:S,11,FALSE)),"")</f>
        <v>44523</v>
      </c>
      <c r="AJ86" s="283"/>
      <c r="AK86" s="283"/>
      <c r="AL86" s="276"/>
      <c r="AM86" s="276"/>
      <c r="AN86" s="220" t="s">
        <v>2681</v>
      </c>
      <c r="AO86" s="220" t="s">
        <v>2681</v>
      </c>
      <c r="AQ86" s="507" t="str">
        <f t="shared" si="6"/>
        <v>4-1</v>
      </c>
      <c r="AR86" s="509" t="str">
        <f t="shared" si="7"/>
        <v/>
      </c>
      <c r="AS86" s="511" t="str">
        <f t="shared" si="8"/>
        <v/>
      </c>
      <c r="AT86" s="513" t="str">
        <f t="shared" si="9"/>
        <v/>
      </c>
      <c r="AU86" s="515" t="str">
        <f t="shared" si="10"/>
        <v/>
      </c>
      <c r="AV86" s="517" t="str">
        <f t="shared" si="11"/>
        <v/>
      </c>
      <c r="AW86" s="589" t="str">
        <f>IFERROR(VLOOKUP(功能_33[[#This Row],[功能代號]],SIT_FT!D:D,1,FALSE),"")</f>
        <v>L4901</v>
      </c>
    </row>
    <row r="87" spans="2:49" ht="13.5" hidden="1" x14ac:dyDescent="0.3">
      <c r="C87" s="276" t="s">
        <v>82</v>
      </c>
      <c r="D87" s="276" t="s">
        <v>2504</v>
      </c>
      <c r="E87" s="275" t="s">
        <v>361</v>
      </c>
      <c r="F87" s="276" t="s">
        <v>362</v>
      </c>
      <c r="G87" s="276"/>
      <c r="H87" s="275" t="s">
        <v>179</v>
      </c>
      <c r="I87" s="275" t="s">
        <v>180</v>
      </c>
      <c r="J87" s="218" t="s">
        <v>2875</v>
      </c>
      <c r="K87" s="283">
        <v>44581</v>
      </c>
      <c r="L87" s="275"/>
      <c r="M87" s="283">
        <v>44447</v>
      </c>
      <c r="N87" s="283">
        <v>44447</v>
      </c>
      <c r="O87" s="283">
        <v>44547</v>
      </c>
      <c r="P87" s="275" t="s">
        <v>8</v>
      </c>
      <c r="Q87" s="275" t="s">
        <v>11</v>
      </c>
      <c r="R87" s="258" t="s">
        <v>14</v>
      </c>
      <c r="V87" s="275"/>
      <c r="X87" s="275"/>
      <c r="Y87" s="275"/>
      <c r="Z87" s="276" t="str">
        <f>VLOOKUP(功能_33[[#This Row],[User]],SKL放款!A:G,7,FALSE)</f>
        <v>放款服務課</v>
      </c>
      <c r="AA87" s="283">
        <v>44533</v>
      </c>
      <c r="AB87" s="283" t="s">
        <v>119</v>
      </c>
      <c r="AC87" s="283">
        <v>44546</v>
      </c>
      <c r="AD87" s="283">
        <v>44546</v>
      </c>
      <c r="AE87" s="283">
        <v>44550</v>
      </c>
      <c r="AF87" s="283"/>
      <c r="AG87" s="283"/>
      <c r="AH87" s="334"/>
      <c r="AI87" s="283">
        <f>IFERROR(IF(VLOOKUP(功能_33[[#This Row],[功能代號]],E:S,11,FALSE)=0,"",VLOOKUP(功能_33[[#This Row],[功能代號]],E:S,11,FALSE)),"")</f>
        <v>44547</v>
      </c>
      <c r="AJ87" s="283"/>
      <c r="AK87" s="283"/>
      <c r="AL87" s="276"/>
      <c r="AM87" s="217" t="s">
        <v>363</v>
      </c>
      <c r="AN87" s="275" t="s">
        <v>176</v>
      </c>
      <c r="AO87" s="276" t="s">
        <v>176</v>
      </c>
      <c r="AQ87" s="507" t="str">
        <f t="shared" si="6"/>
        <v>6-8</v>
      </c>
      <c r="AR87" s="509" t="str">
        <f t="shared" si="7"/>
        <v/>
      </c>
      <c r="AS87" s="511" t="str">
        <f t="shared" si="8"/>
        <v/>
      </c>
      <c r="AT87" s="513" t="str">
        <f t="shared" si="9"/>
        <v/>
      </c>
      <c r="AU87" s="515" t="str">
        <f t="shared" si="10"/>
        <v/>
      </c>
      <c r="AV87" s="517" t="str">
        <f t="shared" si="11"/>
        <v/>
      </c>
      <c r="AW87" s="589" t="str">
        <f>IFERROR(VLOOKUP(功能_33[[#This Row],[功能代號]],SIT_FT!D:D,1,FALSE),"")</f>
        <v>L6001</v>
      </c>
    </row>
    <row r="88" spans="2:49" ht="13.5" hidden="1" x14ac:dyDescent="0.3">
      <c r="C88" s="276" t="s">
        <v>80</v>
      </c>
      <c r="D88" s="276" t="s">
        <v>364</v>
      </c>
      <c r="E88" s="275" t="s">
        <v>365</v>
      </c>
      <c r="F88" s="276" t="s">
        <v>366</v>
      </c>
      <c r="G88" s="276"/>
      <c r="H88" s="275" t="s">
        <v>179</v>
      </c>
      <c r="I88" s="275" t="s">
        <v>180</v>
      </c>
      <c r="J88" s="218" t="s">
        <v>2606</v>
      </c>
      <c r="K88" s="283">
        <v>44582</v>
      </c>
      <c r="L88" s="275"/>
      <c r="M88" s="283">
        <v>44447</v>
      </c>
      <c r="N88" s="283">
        <v>44447</v>
      </c>
      <c r="O88" s="283">
        <v>44523</v>
      </c>
      <c r="P88" s="275" t="s">
        <v>12</v>
      </c>
      <c r="Q88" s="275" t="s">
        <v>22</v>
      </c>
      <c r="V88" s="275"/>
      <c r="X88" s="275"/>
      <c r="Y88" s="275"/>
      <c r="Z88" s="276" t="str">
        <f>VLOOKUP(功能_33[[#This Row],[User]],SKL放款!A:G,7,FALSE)</f>
        <v>放款服務課</v>
      </c>
      <c r="AA88" s="283">
        <v>44533</v>
      </c>
      <c r="AB88" s="283">
        <v>44515</v>
      </c>
      <c r="AC88" s="283">
        <v>44516</v>
      </c>
      <c r="AD88" s="283">
        <v>44516</v>
      </c>
      <c r="AE88" s="283">
        <v>44539</v>
      </c>
      <c r="AF88" s="283"/>
      <c r="AG88" s="283"/>
      <c r="AH88" s="334"/>
      <c r="AI88" s="283">
        <f>IFERROR(IF(VLOOKUP(功能_33[[#This Row],[功能代號]],E:S,11,FALSE)=0,"",VLOOKUP(功能_33[[#This Row],[功能代號]],E:S,11,FALSE)),"")</f>
        <v>44523</v>
      </c>
      <c r="AJ88" s="283"/>
      <c r="AK88" s="283"/>
      <c r="AL88" s="276"/>
      <c r="AM88" s="283"/>
      <c r="AN88" s="220" t="s">
        <v>2647</v>
      </c>
      <c r="AO88" s="220" t="s">
        <v>2647</v>
      </c>
      <c r="AQ88" s="507" t="str">
        <f t="shared" si="6"/>
        <v>4-4</v>
      </c>
      <c r="AR88" s="509" t="str">
        <f t="shared" si="7"/>
        <v/>
      </c>
      <c r="AS88" s="511" t="str">
        <f t="shared" si="8"/>
        <v/>
      </c>
      <c r="AT88" s="513" t="str">
        <f t="shared" si="9"/>
        <v/>
      </c>
      <c r="AU88" s="515" t="str">
        <f t="shared" si="10"/>
        <v/>
      </c>
      <c r="AV88" s="517" t="str">
        <f t="shared" si="11"/>
        <v/>
      </c>
      <c r="AW88" s="589" t="str">
        <f>IFERROR(VLOOKUP(功能_33[[#This Row],[功能代號]],SIT_FT!D:D,1,FALSE),"")</f>
        <v>L4042</v>
      </c>
    </row>
    <row r="89" spans="2:49" ht="27" hidden="1" x14ac:dyDescent="0.3">
      <c r="C89" s="276" t="s">
        <v>80</v>
      </c>
      <c r="D89" s="276" t="s">
        <v>364</v>
      </c>
      <c r="E89" s="275" t="s">
        <v>367</v>
      </c>
      <c r="F89" s="276" t="s">
        <v>368</v>
      </c>
      <c r="G89" s="276"/>
      <c r="H89" s="275" t="s">
        <v>179</v>
      </c>
      <c r="I89" s="275" t="s">
        <v>180</v>
      </c>
      <c r="J89" s="218" t="s">
        <v>2606</v>
      </c>
      <c r="K89" s="283">
        <v>44585</v>
      </c>
      <c r="L89" s="275"/>
      <c r="M89" s="283">
        <v>44447</v>
      </c>
      <c r="N89" s="283">
        <v>44447</v>
      </c>
      <c r="O89" s="283">
        <v>44523</v>
      </c>
      <c r="P89" s="275" t="s">
        <v>12</v>
      </c>
      <c r="Q89" s="275" t="s">
        <v>22</v>
      </c>
      <c r="V89" s="275"/>
      <c r="X89" s="275"/>
      <c r="Y89" s="275"/>
      <c r="Z89" s="276" t="str">
        <f>VLOOKUP(功能_33[[#This Row],[User]],SKL放款!A:G,7,FALSE)</f>
        <v>放款服務課</v>
      </c>
      <c r="AA89" s="283">
        <v>44533</v>
      </c>
      <c r="AB89" s="283">
        <v>44515</v>
      </c>
      <c r="AC89" s="283">
        <v>44516</v>
      </c>
      <c r="AD89" s="283">
        <v>44516</v>
      </c>
      <c r="AE89" s="283">
        <v>44539</v>
      </c>
      <c r="AF89" s="283"/>
      <c r="AG89" s="283"/>
      <c r="AH89" s="334"/>
      <c r="AI89" s="283">
        <f>IFERROR(IF(VLOOKUP(功能_33[[#This Row],[功能代號]],E:S,11,FALSE)=0,"",VLOOKUP(功能_33[[#This Row],[功能代號]],E:S,11,FALSE)),"")</f>
        <v>44523</v>
      </c>
      <c r="AJ89" s="283"/>
      <c r="AK89" s="283"/>
      <c r="AL89" s="276"/>
      <c r="AM89" s="283"/>
      <c r="AN89" s="540" t="s">
        <v>2682</v>
      </c>
      <c r="AO89" s="212" t="s">
        <v>2683</v>
      </c>
      <c r="AQ89" s="507" t="str">
        <f t="shared" si="6"/>
        <v>4-4</v>
      </c>
      <c r="AR89" s="509" t="str">
        <f t="shared" si="7"/>
        <v/>
      </c>
      <c r="AS89" s="511" t="str">
        <f t="shared" si="8"/>
        <v/>
      </c>
      <c r="AT89" s="513" t="str">
        <f t="shared" si="9"/>
        <v/>
      </c>
      <c r="AU89" s="515" t="str">
        <f t="shared" si="10"/>
        <v/>
      </c>
      <c r="AV89" s="517" t="str">
        <f t="shared" si="11"/>
        <v/>
      </c>
      <c r="AW89" s="589" t="str">
        <f>IFERROR(VLOOKUP(功能_33[[#This Row],[功能代號]],SIT_FT!D:D,1,FALSE),"")</f>
        <v>L4410</v>
      </c>
    </row>
    <row r="90" spans="2:49" ht="40.5" hidden="1" x14ac:dyDescent="0.3">
      <c r="C90" s="276" t="s">
        <v>80</v>
      </c>
      <c r="D90" s="276" t="s">
        <v>364</v>
      </c>
      <c r="E90" s="275" t="s">
        <v>369</v>
      </c>
      <c r="F90" s="276" t="s">
        <v>370</v>
      </c>
      <c r="G90" s="276"/>
      <c r="H90" s="275" t="s">
        <v>179</v>
      </c>
      <c r="I90" s="275" t="s">
        <v>180</v>
      </c>
      <c r="J90" s="218" t="s">
        <v>2606</v>
      </c>
      <c r="K90" s="283">
        <v>44585</v>
      </c>
      <c r="L90" s="275"/>
      <c r="M90" s="283">
        <v>44447</v>
      </c>
      <c r="N90" s="283">
        <v>44447</v>
      </c>
      <c r="O90" s="283">
        <v>44523</v>
      </c>
      <c r="P90" s="275" t="s">
        <v>12</v>
      </c>
      <c r="Q90" s="275" t="s">
        <v>22</v>
      </c>
      <c r="V90" s="275"/>
      <c r="X90" s="275"/>
      <c r="Y90" s="275"/>
      <c r="Z90" s="276" t="str">
        <f>VLOOKUP(功能_33[[#This Row],[User]],SKL放款!A:G,7,FALSE)</f>
        <v>放款服務課</v>
      </c>
      <c r="AA90" s="283">
        <v>44533</v>
      </c>
      <c r="AB90" s="283" t="s">
        <v>181</v>
      </c>
      <c r="AC90" s="283">
        <v>44516</v>
      </c>
      <c r="AD90" s="283">
        <v>44516</v>
      </c>
      <c r="AE90" s="283">
        <v>44539</v>
      </c>
      <c r="AF90" s="283"/>
      <c r="AG90" s="283"/>
      <c r="AH90" s="334"/>
      <c r="AI90" s="283">
        <f>IFERROR(IF(VLOOKUP(功能_33[[#This Row],[功能代號]],E:S,11,FALSE)=0,"",VLOOKUP(功能_33[[#This Row],[功能代號]],E:S,11,FALSE)),"")</f>
        <v>44523</v>
      </c>
      <c r="AJ90" s="283"/>
      <c r="AK90" s="283"/>
      <c r="AL90" s="276"/>
      <c r="AM90" s="283"/>
      <c r="AN90" s="540" t="s">
        <v>2685</v>
      </c>
      <c r="AO90" s="212" t="s">
        <v>2684</v>
      </c>
      <c r="AQ90" s="507" t="str">
        <f t="shared" si="6"/>
        <v>4-4</v>
      </c>
      <c r="AR90" s="509" t="str">
        <f t="shared" si="7"/>
        <v/>
      </c>
      <c r="AS90" s="511" t="str">
        <f t="shared" si="8"/>
        <v/>
      </c>
      <c r="AT90" s="513" t="str">
        <f t="shared" si="9"/>
        <v/>
      </c>
      <c r="AU90" s="515" t="str">
        <f t="shared" si="10"/>
        <v/>
      </c>
      <c r="AV90" s="517" t="str">
        <f t="shared" si="11"/>
        <v/>
      </c>
      <c r="AW90" s="589" t="str">
        <f>IFERROR(VLOOKUP(功能_33[[#This Row],[功能代號]],SIT_FT!D:D,1,FALSE),"")</f>
        <v>L4040</v>
      </c>
    </row>
    <row r="91" spans="2:49" ht="27" hidden="1" x14ac:dyDescent="0.3">
      <c r="C91" s="276" t="s">
        <v>80</v>
      </c>
      <c r="D91" s="276" t="s">
        <v>364</v>
      </c>
      <c r="E91" s="275" t="s">
        <v>371</v>
      </c>
      <c r="F91" s="276" t="s">
        <v>372</v>
      </c>
      <c r="G91" s="276"/>
      <c r="H91" s="275" t="s">
        <v>179</v>
      </c>
      <c r="I91" s="275" t="s">
        <v>180</v>
      </c>
      <c r="J91" s="218" t="s">
        <v>2606</v>
      </c>
      <c r="K91" s="283">
        <v>44585</v>
      </c>
      <c r="L91" s="275"/>
      <c r="M91" s="283">
        <v>44447</v>
      </c>
      <c r="N91" s="283">
        <v>44447</v>
      </c>
      <c r="O91" s="283">
        <v>44523</v>
      </c>
      <c r="P91" s="275" t="s">
        <v>12</v>
      </c>
      <c r="Q91" s="275" t="s">
        <v>22</v>
      </c>
      <c r="V91" s="275"/>
      <c r="X91" s="275"/>
      <c r="Y91" s="275"/>
      <c r="Z91" s="276" t="str">
        <f>VLOOKUP(功能_33[[#This Row],[User]],SKL放款!A:G,7,FALSE)</f>
        <v>放款服務課</v>
      </c>
      <c r="AA91" s="283">
        <v>44533</v>
      </c>
      <c r="AB91" s="283" t="s">
        <v>181</v>
      </c>
      <c r="AC91" s="283">
        <v>44516</v>
      </c>
      <c r="AD91" s="283">
        <v>44516</v>
      </c>
      <c r="AE91" s="283">
        <v>44539</v>
      </c>
      <c r="AF91" s="283"/>
      <c r="AG91" s="283"/>
      <c r="AH91" s="334"/>
      <c r="AI91" s="283">
        <f>IFERROR(IF(VLOOKUP(功能_33[[#This Row],[功能代號]],E:S,11,FALSE)=0,"",VLOOKUP(功能_33[[#This Row],[功能代號]],E:S,11,FALSE)),"")</f>
        <v>44523</v>
      </c>
      <c r="AJ91" s="283"/>
      <c r="AK91" s="283"/>
      <c r="AL91" s="276"/>
      <c r="AM91" s="283"/>
      <c r="AN91" s="540" t="s">
        <v>2691</v>
      </c>
      <c r="AO91" s="212" t="s">
        <v>2690</v>
      </c>
      <c r="AQ91" s="507" t="str">
        <f t="shared" si="6"/>
        <v>4-4</v>
      </c>
      <c r="AR91" s="509" t="str">
        <f t="shared" si="7"/>
        <v/>
      </c>
      <c r="AS91" s="511" t="str">
        <f t="shared" si="8"/>
        <v/>
      </c>
      <c r="AT91" s="513" t="str">
        <f t="shared" si="9"/>
        <v/>
      </c>
      <c r="AU91" s="515" t="str">
        <f t="shared" si="10"/>
        <v/>
      </c>
      <c r="AV91" s="517" t="str">
        <f t="shared" si="11"/>
        <v/>
      </c>
      <c r="AW91" s="589" t="str">
        <f>IFERROR(VLOOKUP(功能_33[[#This Row],[功能代號]],SIT_FT!D:D,1,FALSE),"")</f>
        <v>L4414</v>
      </c>
    </row>
    <row r="92" spans="2:49" ht="13.5" hidden="1" x14ac:dyDescent="0.3">
      <c r="C92" s="276" t="s">
        <v>80</v>
      </c>
      <c r="D92" s="276" t="s">
        <v>364</v>
      </c>
      <c r="E92" s="275" t="s">
        <v>373</v>
      </c>
      <c r="F92" s="276" t="s">
        <v>374</v>
      </c>
      <c r="G92" s="276"/>
      <c r="H92" s="275" t="s">
        <v>179</v>
      </c>
      <c r="I92" s="275" t="s">
        <v>180</v>
      </c>
      <c r="J92" s="218" t="s">
        <v>2606</v>
      </c>
      <c r="K92" s="283">
        <v>44585</v>
      </c>
      <c r="L92" s="275"/>
      <c r="M92" s="283">
        <v>44447</v>
      </c>
      <c r="N92" s="283">
        <v>44447</v>
      </c>
      <c r="O92" s="283">
        <v>44523</v>
      </c>
      <c r="P92" s="275" t="s">
        <v>12</v>
      </c>
      <c r="Q92" s="275" t="s">
        <v>22</v>
      </c>
      <c r="V92" s="275"/>
      <c r="X92" s="275"/>
      <c r="Y92" s="275"/>
      <c r="Z92" s="276" t="str">
        <f>VLOOKUP(功能_33[[#This Row],[User]],SKL放款!A:G,7,FALSE)</f>
        <v>放款服務課</v>
      </c>
      <c r="AA92" s="283">
        <v>44533</v>
      </c>
      <c r="AB92" s="283">
        <v>44515</v>
      </c>
      <c r="AC92" s="283">
        <v>44516</v>
      </c>
      <c r="AD92" s="283">
        <v>44516</v>
      </c>
      <c r="AE92" s="283">
        <v>44539</v>
      </c>
      <c r="AF92" s="283"/>
      <c r="AG92" s="283"/>
      <c r="AH92" s="334"/>
      <c r="AI92" s="283">
        <f>IFERROR(IF(VLOOKUP(功能_33[[#This Row],[功能代號]],E:S,11,FALSE)=0,"",VLOOKUP(功能_33[[#This Row],[功能代號]],E:S,11,FALSE)),"")</f>
        <v>44523</v>
      </c>
      <c r="AJ92" s="283"/>
      <c r="AK92" s="283"/>
      <c r="AL92" s="276"/>
      <c r="AM92" s="283"/>
      <c r="AN92" s="220" t="s">
        <v>2647</v>
      </c>
      <c r="AO92" s="220" t="s">
        <v>2647</v>
      </c>
      <c r="AQ92" s="507" t="str">
        <f t="shared" si="6"/>
        <v>4-4</v>
      </c>
      <c r="AR92" s="509" t="str">
        <f t="shared" si="7"/>
        <v/>
      </c>
      <c r="AS92" s="511" t="str">
        <f t="shared" si="8"/>
        <v/>
      </c>
      <c r="AT92" s="513" t="str">
        <f t="shared" si="9"/>
        <v/>
      </c>
      <c r="AU92" s="515" t="str">
        <f t="shared" si="10"/>
        <v/>
      </c>
      <c r="AV92" s="517" t="str">
        <f t="shared" si="11"/>
        <v/>
      </c>
      <c r="AW92" s="589" t="str">
        <f>IFERROR(VLOOKUP(功能_33[[#This Row],[功能代號]],SIT_FT!D:D,1,FALSE),"")</f>
        <v>L4940</v>
      </c>
    </row>
    <row r="93" spans="2:49" ht="13.5" hidden="1" x14ac:dyDescent="0.3">
      <c r="C93" s="276" t="s">
        <v>80</v>
      </c>
      <c r="D93" s="276" t="s">
        <v>364</v>
      </c>
      <c r="E93" s="275" t="s">
        <v>375</v>
      </c>
      <c r="F93" s="276" t="s">
        <v>376</v>
      </c>
      <c r="G93" s="276"/>
      <c r="H93" s="275" t="s">
        <v>179</v>
      </c>
      <c r="I93" s="275" t="s">
        <v>180</v>
      </c>
      <c r="J93" s="218" t="s">
        <v>2606</v>
      </c>
      <c r="K93" s="283">
        <v>44586</v>
      </c>
      <c r="L93" s="275"/>
      <c r="M93" s="283">
        <v>44447</v>
      </c>
      <c r="N93" s="283">
        <v>44447</v>
      </c>
      <c r="O93" s="283">
        <v>44523</v>
      </c>
      <c r="P93" s="275" t="s">
        <v>12</v>
      </c>
      <c r="Q93" s="275" t="s">
        <v>22</v>
      </c>
      <c r="V93" s="275"/>
      <c r="X93" s="275"/>
      <c r="Y93" s="275"/>
      <c r="Z93" s="276" t="str">
        <f>VLOOKUP(功能_33[[#This Row],[User]],SKL放款!A:G,7,FALSE)</f>
        <v>放款服務課</v>
      </c>
      <c r="AA93" s="283">
        <v>44533</v>
      </c>
      <c r="AB93" s="283">
        <v>44515</v>
      </c>
      <c r="AC93" s="283">
        <v>44516</v>
      </c>
      <c r="AD93" s="283">
        <v>44516</v>
      </c>
      <c r="AE93" s="283">
        <v>44539</v>
      </c>
      <c r="AF93" s="283"/>
      <c r="AG93" s="283"/>
      <c r="AH93" s="334"/>
      <c r="AI93" s="283">
        <f>IFERROR(IF(VLOOKUP(功能_33[[#This Row],[功能代號]],E:S,11,FALSE)=0,"",VLOOKUP(功能_33[[#This Row],[功能代號]],E:S,11,FALSE)),"")</f>
        <v>44523</v>
      </c>
      <c r="AJ93" s="283"/>
      <c r="AK93" s="283"/>
      <c r="AL93" s="276"/>
      <c r="AM93" s="283"/>
      <c r="AN93" s="220" t="s">
        <v>2647</v>
      </c>
      <c r="AO93" s="220" t="s">
        <v>2647</v>
      </c>
      <c r="AQ93" s="507" t="str">
        <f t="shared" si="6"/>
        <v>4-4</v>
      </c>
      <c r="AR93" s="509" t="str">
        <f t="shared" si="7"/>
        <v/>
      </c>
      <c r="AS93" s="511" t="str">
        <f t="shared" si="8"/>
        <v/>
      </c>
      <c r="AT93" s="513" t="str">
        <f t="shared" si="9"/>
        <v/>
      </c>
      <c r="AU93" s="515" t="str">
        <f t="shared" si="10"/>
        <v/>
      </c>
      <c r="AV93" s="517" t="str">
        <f t="shared" si="11"/>
        <v/>
      </c>
      <c r="AW93" s="589" t="str">
        <f>IFERROR(VLOOKUP(功能_33[[#This Row],[功能代號]],SIT_FT!D:D,1,FALSE),"")</f>
        <v>L4941</v>
      </c>
    </row>
    <row r="94" spans="2:49" ht="13.5" hidden="1" x14ac:dyDescent="0.3">
      <c r="C94" s="276" t="s">
        <v>80</v>
      </c>
      <c r="D94" s="276" t="s">
        <v>364</v>
      </c>
      <c r="E94" s="275" t="s">
        <v>377</v>
      </c>
      <c r="F94" s="276" t="s">
        <v>378</v>
      </c>
      <c r="G94" s="276"/>
      <c r="H94" s="275" t="s">
        <v>179</v>
      </c>
      <c r="I94" s="275" t="s">
        <v>180</v>
      </c>
      <c r="J94" s="218" t="s">
        <v>2606</v>
      </c>
      <c r="K94" s="283">
        <v>44586</v>
      </c>
      <c r="L94" s="275"/>
      <c r="M94" s="283">
        <v>44448</v>
      </c>
      <c r="N94" s="283">
        <v>44448</v>
      </c>
      <c r="O94" s="283">
        <v>44523</v>
      </c>
      <c r="P94" s="275" t="s">
        <v>12</v>
      </c>
      <c r="Q94" s="275" t="s">
        <v>23</v>
      </c>
      <c r="V94" s="275"/>
      <c r="X94" s="275"/>
      <c r="Y94" s="275"/>
      <c r="Z94" s="276" t="str">
        <f>VLOOKUP(功能_33[[#This Row],[User]],SKL放款!A:G,7,FALSE)</f>
        <v>放款服務課</v>
      </c>
      <c r="AA94" s="283">
        <v>44533</v>
      </c>
      <c r="AB94" s="283">
        <v>44515</v>
      </c>
      <c r="AC94" s="283">
        <v>44516</v>
      </c>
      <c r="AD94" s="283">
        <v>44516</v>
      </c>
      <c r="AE94" s="283">
        <v>44539</v>
      </c>
      <c r="AF94" s="283"/>
      <c r="AG94" s="283"/>
      <c r="AH94" s="334"/>
      <c r="AI94" s="283">
        <f>IFERROR(IF(VLOOKUP(功能_33[[#This Row],[功能代號]],E:S,11,FALSE)=0,"",VLOOKUP(功能_33[[#This Row],[功能代號]],E:S,11,FALSE)),"")</f>
        <v>44523</v>
      </c>
      <c r="AJ94" s="283"/>
      <c r="AK94" s="283"/>
      <c r="AL94" s="276"/>
      <c r="AM94" s="283"/>
      <c r="AN94" s="220" t="s">
        <v>2647</v>
      </c>
      <c r="AO94" s="220" t="s">
        <v>2647</v>
      </c>
      <c r="AQ94" s="507" t="str">
        <f t="shared" si="6"/>
        <v>4-4</v>
      </c>
      <c r="AR94" s="509" t="str">
        <f t="shared" si="7"/>
        <v/>
      </c>
      <c r="AS94" s="511" t="str">
        <f t="shared" si="8"/>
        <v/>
      </c>
      <c r="AT94" s="513" t="str">
        <f t="shared" si="9"/>
        <v/>
      </c>
      <c r="AU94" s="515" t="str">
        <f t="shared" si="10"/>
        <v/>
      </c>
      <c r="AV94" s="517" t="str">
        <f t="shared" si="11"/>
        <v/>
      </c>
      <c r="AW94" s="589" t="str">
        <f>IFERROR(VLOOKUP(功能_33[[#This Row],[功能代號]],SIT_FT!D:D,1,FALSE),"")</f>
        <v>L4043</v>
      </c>
    </row>
    <row r="95" spans="2:49" ht="27" hidden="1" x14ac:dyDescent="0.3">
      <c r="C95" s="276" t="s">
        <v>80</v>
      </c>
      <c r="D95" s="276" t="s">
        <v>364</v>
      </c>
      <c r="E95" s="275" t="s">
        <v>379</v>
      </c>
      <c r="F95" s="276" t="s">
        <v>380</v>
      </c>
      <c r="G95" s="276"/>
      <c r="H95" s="275" t="s">
        <v>179</v>
      </c>
      <c r="I95" s="275" t="s">
        <v>180</v>
      </c>
      <c r="J95" s="218" t="s">
        <v>2606</v>
      </c>
      <c r="K95" s="283">
        <v>44586</v>
      </c>
      <c r="L95" s="275"/>
      <c r="M95" s="283">
        <v>44448</v>
      </c>
      <c r="N95" s="283">
        <v>44448</v>
      </c>
      <c r="O95" s="283">
        <v>44523</v>
      </c>
      <c r="P95" s="275" t="s">
        <v>12</v>
      </c>
      <c r="Q95" s="275" t="s">
        <v>23</v>
      </c>
      <c r="V95" s="275"/>
      <c r="X95" s="275"/>
      <c r="Y95" s="275"/>
      <c r="Z95" s="276" t="str">
        <f>VLOOKUP(功能_33[[#This Row],[User]],SKL放款!A:G,7,FALSE)</f>
        <v>放款服務課</v>
      </c>
      <c r="AA95" s="283">
        <v>44533</v>
      </c>
      <c r="AB95" s="283">
        <v>44515</v>
      </c>
      <c r="AC95" s="283">
        <v>44516</v>
      </c>
      <c r="AD95" s="283">
        <v>44516</v>
      </c>
      <c r="AE95" s="283">
        <v>44539</v>
      </c>
      <c r="AF95" s="283"/>
      <c r="AG95" s="283"/>
      <c r="AH95" s="334"/>
      <c r="AI95" s="283">
        <f>IFERROR(IF(VLOOKUP(功能_33[[#This Row],[功能代號]],E:S,11,FALSE)=0,"",VLOOKUP(功能_33[[#This Row],[功能代號]],E:S,11,FALSE)),"")</f>
        <v>44523</v>
      </c>
      <c r="AJ95" s="283"/>
      <c r="AK95" s="283"/>
      <c r="AL95" s="276"/>
      <c r="AM95" s="283"/>
      <c r="AN95" s="540" t="s">
        <v>2686</v>
      </c>
      <c r="AO95" s="212" t="s">
        <v>2687</v>
      </c>
      <c r="AQ95" s="507" t="str">
        <f t="shared" si="6"/>
        <v>4-4</v>
      </c>
      <c r="AR95" s="509" t="str">
        <f t="shared" si="7"/>
        <v/>
      </c>
      <c r="AS95" s="511" t="str">
        <f t="shared" si="8"/>
        <v/>
      </c>
      <c r="AT95" s="513" t="str">
        <f t="shared" si="9"/>
        <v/>
      </c>
      <c r="AU95" s="515" t="str">
        <f t="shared" si="10"/>
        <v/>
      </c>
      <c r="AV95" s="517" t="str">
        <f t="shared" si="11"/>
        <v/>
      </c>
      <c r="AW95" s="589" t="str">
        <f>IFERROR(VLOOKUP(功能_33[[#This Row],[功能代號]],SIT_FT!D:D,1,FALSE),"")</f>
        <v>L4412</v>
      </c>
    </row>
    <row r="96" spans="2:49" ht="40.5" hidden="1" x14ac:dyDescent="0.3">
      <c r="C96" s="276" t="s">
        <v>80</v>
      </c>
      <c r="D96" s="276" t="s">
        <v>364</v>
      </c>
      <c r="E96" s="275" t="s">
        <v>381</v>
      </c>
      <c r="F96" s="276" t="s">
        <v>382</v>
      </c>
      <c r="G96" s="276"/>
      <c r="H96" s="275" t="s">
        <v>179</v>
      </c>
      <c r="I96" s="275" t="s">
        <v>180</v>
      </c>
      <c r="J96" s="218" t="s">
        <v>2606</v>
      </c>
      <c r="K96" s="283">
        <v>44586</v>
      </c>
      <c r="L96" s="275"/>
      <c r="M96" s="283">
        <v>44448</v>
      </c>
      <c r="N96" s="283">
        <v>44448</v>
      </c>
      <c r="O96" s="283">
        <v>44523</v>
      </c>
      <c r="P96" s="275" t="s">
        <v>12</v>
      </c>
      <c r="Q96" s="275" t="s">
        <v>23</v>
      </c>
      <c r="V96" s="275"/>
      <c r="X96" s="275"/>
      <c r="Y96" s="275"/>
      <c r="Z96" s="276" t="str">
        <f>VLOOKUP(功能_33[[#This Row],[User]],SKL放款!A:G,7,FALSE)</f>
        <v>放款服務課</v>
      </c>
      <c r="AA96" s="283">
        <v>44533</v>
      </c>
      <c r="AB96" s="283" t="s">
        <v>181</v>
      </c>
      <c r="AC96" s="283">
        <v>44516</v>
      </c>
      <c r="AD96" s="283">
        <v>44516</v>
      </c>
      <c r="AE96" s="283">
        <v>44539</v>
      </c>
      <c r="AF96" s="283"/>
      <c r="AG96" s="283"/>
      <c r="AH96" s="334"/>
      <c r="AI96" s="283">
        <f>IFERROR(IF(VLOOKUP(功能_33[[#This Row],[功能代號]],E:S,11,FALSE)=0,"",VLOOKUP(功能_33[[#This Row],[功能代號]],E:S,11,FALSE)),"")</f>
        <v>44523</v>
      </c>
      <c r="AJ96" s="283"/>
      <c r="AK96" s="283"/>
      <c r="AL96" s="276"/>
      <c r="AM96" s="283"/>
      <c r="AN96" s="540" t="s">
        <v>2689</v>
      </c>
      <c r="AO96" s="212" t="s">
        <v>2688</v>
      </c>
      <c r="AQ96" s="507" t="str">
        <f t="shared" si="6"/>
        <v>4-4</v>
      </c>
      <c r="AR96" s="509" t="str">
        <f t="shared" si="7"/>
        <v/>
      </c>
      <c r="AS96" s="511" t="str">
        <f t="shared" si="8"/>
        <v/>
      </c>
      <c r="AT96" s="513" t="str">
        <f t="shared" si="9"/>
        <v/>
      </c>
      <c r="AU96" s="515" t="str">
        <f t="shared" si="10"/>
        <v/>
      </c>
      <c r="AV96" s="517" t="str">
        <f t="shared" si="11"/>
        <v/>
      </c>
      <c r="AW96" s="589" t="str">
        <f>IFERROR(VLOOKUP(功能_33[[#This Row],[功能代號]],SIT_FT!D:D,1,FALSE),"")</f>
        <v>L4041</v>
      </c>
    </row>
    <row r="97" spans="1:49" ht="13.5" hidden="1" x14ac:dyDescent="0.3">
      <c r="C97" s="276" t="s">
        <v>80</v>
      </c>
      <c r="D97" s="276" t="s">
        <v>364</v>
      </c>
      <c r="E97" s="275" t="s">
        <v>383</v>
      </c>
      <c r="F97" s="276" t="s">
        <v>384</v>
      </c>
      <c r="G97" s="276"/>
      <c r="H97" s="275" t="s">
        <v>179</v>
      </c>
      <c r="I97" s="275" t="s">
        <v>180</v>
      </c>
      <c r="J97" s="218" t="s">
        <v>2606</v>
      </c>
      <c r="K97" s="283">
        <v>44587</v>
      </c>
      <c r="L97" s="275"/>
      <c r="M97" s="283">
        <v>44448</v>
      </c>
      <c r="N97" s="283">
        <v>44448</v>
      </c>
      <c r="O97" s="283">
        <v>44523</v>
      </c>
      <c r="P97" s="275" t="s">
        <v>12</v>
      </c>
      <c r="Q97" s="275" t="s">
        <v>23</v>
      </c>
      <c r="V97" s="275"/>
      <c r="X97" s="275"/>
      <c r="Y97" s="275"/>
      <c r="Z97" s="276" t="str">
        <f>VLOOKUP(功能_33[[#This Row],[User]],SKL放款!A:G,7,FALSE)</f>
        <v>放款服務課</v>
      </c>
      <c r="AA97" s="283">
        <v>44533</v>
      </c>
      <c r="AB97" s="283" t="s">
        <v>181</v>
      </c>
      <c r="AC97" s="283">
        <v>44516</v>
      </c>
      <c r="AD97" s="283">
        <v>44516</v>
      </c>
      <c r="AE97" s="283">
        <v>44539</v>
      </c>
      <c r="AF97" s="283"/>
      <c r="AG97" s="283"/>
      <c r="AH97" s="334"/>
      <c r="AI97" s="283">
        <f>IFERROR(IF(VLOOKUP(功能_33[[#This Row],[功能代號]],E:S,11,FALSE)=0,"",VLOOKUP(功能_33[[#This Row],[功能代號]],E:S,11,FALSE)),"")</f>
        <v>44523</v>
      </c>
      <c r="AJ97" s="283"/>
      <c r="AK97" s="283"/>
      <c r="AL97" s="276"/>
      <c r="AM97" s="283"/>
      <c r="AN97" s="220" t="s">
        <v>2647</v>
      </c>
      <c r="AO97" s="220" t="s">
        <v>2647</v>
      </c>
      <c r="AQ97" s="507" t="str">
        <f t="shared" si="6"/>
        <v>4-4</v>
      </c>
      <c r="AR97" s="509" t="str">
        <f t="shared" si="7"/>
        <v/>
      </c>
      <c r="AS97" s="511" t="str">
        <f t="shared" si="8"/>
        <v/>
      </c>
      <c r="AT97" s="513" t="str">
        <f t="shared" si="9"/>
        <v/>
      </c>
      <c r="AU97" s="515" t="str">
        <f t="shared" si="10"/>
        <v/>
      </c>
      <c r="AV97" s="517" t="str">
        <f t="shared" si="11"/>
        <v/>
      </c>
      <c r="AW97" s="589" t="str">
        <f>IFERROR(VLOOKUP(功能_33[[#This Row],[功能代號]],SIT_FT!D:D,1,FALSE),"")</f>
        <v>L4942</v>
      </c>
    </row>
    <row r="98" spans="1:49" ht="13.5" x14ac:dyDescent="0.3">
      <c r="B98" s="276">
        <v>1</v>
      </c>
      <c r="C98" s="276" t="s">
        <v>79</v>
      </c>
      <c r="D98" s="337" t="s">
        <v>2502</v>
      </c>
      <c r="E98" s="275" t="s">
        <v>385</v>
      </c>
      <c r="F98" s="276" t="s">
        <v>386</v>
      </c>
      <c r="G98" s="276"/>
      <c r="H98" s="275" t="s">
        <v>179</v>
      </c>
      <c r="I98" s="275" t="s">
        <v>180</v>
      </c>
      <c r="J98" s="218" t="s">
        <v>3012</v>
      </c>
      <c r="K98" s="283">
        <v>44575</v>
      </c>
      <c r="L98" s="275"/>
      <c r="M98" s="283">
        <v>44452</v>
      </c>
      <c r="N98" s="283">
        <v>44452</v>
      </c>
      <c r="O98" s="283">
        <v>44452</v>
      </c>
      <c r="P98" s="275" t="s">
        <v>8</v>
      </c>
      <c r="Q98" s="275" t="s">
        <v>24</v>
      </c>
      <c r="V98" s="275"/>
      <c r="X98" s="275"/>
      <c r="Y98" s="275"/>
      <c r="Z98" s="276" t="str">
        <f>VLOOKUP(功能_33[[#This Row],[User]],SKL放款!A:G,7,FALSE)</f>
        <v>放款服務課</v>
      </c>
      <c r="AA98" s="283">
        <v>44496</v>
      </c>
      <c r="AB98" s="283">
        <v>44488</v>
      </c>
      <c r="AC98" s="283">
        <v>44496</v>
      </c>
      <c r="AD98" s="283">
        <v>44496</v>
      </c>
      <c r="AE98" s="283">
        <v>44512</v>
      </c>
      <c r="AF98" s="283" t="s">
        <v>182</v>
      </c>
      <c r="AG98" s="283"/>
      <c r="AH98" s="334"/>
      <c r="AI98" s="283">
        <f>IFERROR(IF(VLOOKUP(功能_33[[#This Row],[功能代號]],E:S,11,FALSE)=0,"",VLOOKUP(功能_33[[#This Row],[功能代號]],E:S,11,FALSE)),"")</f>
        <v>44452</v>
      </c>
      <c r="AJ98" s="283"/>
      <c r="AK98" s="283"/>
      <c r="AL98" s="276"/>
      <c r="AM98" s="283"/>
      <c r="AN98" s="275">
        <v>336</v>
      </c>
      <c r="AO98" s="276" t="s">
        <v>387</v>
      </c>
      <c r="AQ98" s="507" t="str">
        <f t="shared" si="6"/>
        <v>3-3</v>
      </c>
      <c r="AR98" s="509" t="str">
        <f t="shared" si="7"/>
        <v/>
      </c>
      <c r="AS98" s="511" t="str">
        <f t="shared" si="8"/>
        <v/>
      </c>
      <c r="AT98" s="513" t="str">
        <f t="shared" si="9"/>
        <v/>
      </c>
      <c r="AU98" s="515" t="str">
        <f t="shared" si="10"/>
        <v/>
      </c>
      <c r="AV98" s="517" t="str">
        <f t="shared" si="11"/>
        <v/>
      </c>
      <c r="AW98" s="589" t="str">
        <f>IFERROR(VLOOKUP(功能_33[[#This Row],[功能代號]],SIT_FT!D:D,1,FALSE),"")</f>
        <v>L3210</v>
      </c>
    </row>
    <row r="99" spans="1:49" ht="13.5" x14ac:dyDescent="0.3">
      <c r="B99" s="276">
        <v>1</v>
      </c>
      <c r="C99" s="276" t="s">
        <v>79</v>
      </c>
      <c r="D99" s="337" t="s">
        <v>2502</v>
      </c>
      <c r="E99" s="275" t="s">
        <v>388</v>
      </c>
      <c r="F99" s="276" t="s">
        <v>389</v>
      </c>
      <c r="G99" s="276"/>
      <c r="H99" s="275" t="s">
        <v>179</v>
      </c>
      <c r="I99" s="275" t="s">
        <v>180</v>
      </c>
      <c r="J99" s="218" t="s">
        <v>3012</v>
      </c>
      <c r="K99" s="283">
        <v>44575</v>
      </c>
      <c r="L99" s="275"/>
      <c r="M99" s="283">
        <v>44452</v>
      </c>
      <c r="N99" s="283">
        <v>44452</v>
      </c>
      <c r="O99" s="283">
        <f>IFERROR(IF(VLOOKUP(功能_33[[#This Row],[功能代號]],討論項目!A:H,8,FALSE)=0,"",VLOOKUP(功能_33[[#This Row],[功能代號]],討論項目!A:H,8,FALSE)),"")</f>
        <v>44487</v>
      </c>
      <c r="P99" s="275" t="s">
        <v>8</v>
      </c>
      <c r="Q99" s="275" t="s">
        <v>24</v>
      </c>
      <c r="V99" s="275"/>
      <c r="X99" s="275"/>
      <c r="Y99" s="275"/>
      <c r="Z99" s="276" t="str">
        <f>VLOOKUP(功能_33[[#This Row],[User]],SKL放款!A:G,7,FALSE)</f>
        <v>放款服務課</v>
      </c>
      <c r="AA99" s="283">
        <v>44496</v>
      </c>
      <c r="AB99" s="283">
        <v>44488</v>
      </c>
      <c r="AC99" s="283">
        <v>44497</v>
      </c>
      <c r="AD99" s="283">
        <v>44497</v>
      </c>
      <c r="AE99" s="215" t="s">
        <v>2705</v>
      </c>
      <c r="AF99" s="283" t="s">
        <v>182</v>
      </c>
      <c r="AG99" s="283"/>
      <c r="AH99" s="334"/>
      <c r="AI99" s="283">
        <f>IFERROR(IF(VLOOKUP(功能_33[[#This Row],[功能代號]],E:S,11,FALSE)=0,"",VLOOKUP(功能_33[[#This Row],[功能代號]],E:S,11,FALSE)),"")</f>
        <v>44487</v>
      </c>
      <c r="AJ99" s="283"/>
      <c r="AK99" s="283"/>
      <c r="AL99" s="276"/>
      <c r="AM99" s="283"/>
      <c r="AN99" s="275">
        <v>337</v>
      </c>
      <c r="AO99" s="276" t="s">
        <v>390</v>
      </c>
      <c r="AQ99" s="507" t="str">
        <f t="shared" si="6"/>
        <v>3-3</v>
      </c>
      <c r="AR99" s="509" t="str">
        <f t="shared" si="7"/>
        <v/>
      </c>
      <c r="AS99" s="511" t="str">
        <f t="shared" si="8"/>
        <v/>
      </c>
      <c r="AT99" s="513" t="str">
        <f t="shared" si="9"/>
        <v/>
      </c>
      <c r="AU99" s="515" t="str">
        <f t="shared" si="10"/>
        <v/>
      </c>
      <c r="AV99" s="517" t="str">
        <f t="shared" si="11"/>
        <v/>
      </c>
      <c r="AW99" s="589" t="str">
        <f>IFERROR(VLOOKUP(功能_33[[#This Row],[功能代號]],SIT_FT!D:D,1,FALSE),"")</f>
        <v>L3220</v>
      </c>
    </row>
    <row r="100" spans="1:49" ht="13.5" hidden="1" x14ac:dyDescent="0.3">
      <c r="C100" s="276" t="s">
        <v>80</v>
      </c>
      <c r="D100" s="219" t="s">
        <v>354</v>
      </c>
      <c r="E100" s="275" t="s">
        <v>391</v>
      </c>
      <c r="F100" s="276" t="s">
        <v>392</v>
      </c>
      <c r="G100" s="276" t="s">
        <v>393</v>
      </c>
      <c r="H100" s="275" t="s">
        <v>179</v>
      </c>
      <c r="I100" s="275" t="s">
        <v>189</v>
      </c>
      <c r="J100" s="218" t="s">
        <v>2606</v>
      </c>
      <c r="K100" s="283">
        <v>44572</v>
      </c>
      <c r="L100" s="283">
        <v>44571</v>
      </c>
      <c r="M100" s="283">
        <v>44481</v>
      </c>
      <c r="N100" s="283">
        <v>44484</v>
      </c>
      <c r="O100" s="283">
        <v>44533</v>
      </c>
      <c r="P100" s="275" t="s">
        <v>12</v>
      </c>
      <c r="Q100" s="275" t="s">
        <v>18</v>
      </c>
      <c r="V100" s="275"/>
      <c r="X100" s="275"/>
      <c r="Y100" s="275"/>
      <c r="Z100" s="276" t="str">
        <f>VLOOKUP(功能_33[[#This Row],[User]],SKL放款!A:G,7,FALSE)</f>
        <v>放款服務課</v>
      </c>
      <c r="AA100" s="283">
        <v>44533</v>
      </c>
      <c r="AB100" s="283">
        <v>44515</v>
      </c>
      <c r="AC100" s="283">
        <v>44523</v>
      </c>
      <c r="AD100" s="283">
        <v>44524</v>
      </c>
      <c r="AE100" s="283">
        <v>44539</v>
      </c>
      <c r="AF100" s="283"/>
      <c r="AG100" s="283"/>
      <c r="AH100" s="283"/>
      <c r="AI100" s="283">
        <f>IFERROR(IF(VLOOKUP(功能_33[[#This Row],[功能代號]],E:S,11,FALSE)=0,"",VLOOKUP(功能_33[[#This Row],[功能代號]],E:S,11,FALSE)),"")</f>
        <v>44533</v>
      </c>
      <c r="AJ100" s="283"/>
      <c r="AK100" s="283"/>
      <c r="AL100" s="276"/>
      <c r="AN100" s="220" t="s">
        <v>2681</v>
      </c>
      <c r="AO100" s="220" t="s">
        <v>2681</v>
      </c>
      <c r="AQ100" s="507" t="str">
        <f t="shared" si="6"/>
        <v>4-1</v>
      </c>
      <c r="AR100" s="509" t="str">
        <f t="shared" si="7"/>
        <v/>
      </c>
      <c r="AS100" s="511" t="str">
        <f t="shared" si="8"/>
        <v/>
      </c>
      <c r="AT100" s="513" t="str">
        <f t="shared" si="9"/>
        <v/>
      </c>
      <c r="AU100" s="515" t="str">
        <f t="shared" si="10"/>
        <v/>
      </c>
      <c r="AV100" s="517" t="str">
        <f t="shared" si="11"/>
        <v/>
      </c>
      <c r="AW100" s="589" t="str">
        <f>IFERROR(VLOOKUP(功能_33[[#This Row],[功能代號]],SIT_FT!D:D,1,FALSE),"")</f>
        <v>L4102</v>
      </c>
    </row>
    <row r="101" spans="1:49" ht="13.5" hidden="1" x14ac:dyDescent="0.3">
      <c r="C101" s="276" t="s">
        <v>80</v>
      </c>
      <c r="D101" s="219" t="s">
        <v>354</v>
      </c>
      <c r="E101" s="275" t="s">
        <v>394</v>
      </c>
      <c r="F101" s="276" t="s">
        <v>395</v>
      </c>
      <c r="G101" s="276" t="s">
        <v>393</v>
      </c>
      <c r="H101" s="275" t="s">
        <v>179</v>
      </c>
      <c r="I101" s="275" t="s">
        <v>189</v>
      </c>
      <c r="J101" s="218" t="s">
        <v>2606</v>
      </c>
      <c r="K101" s="283">
        <v>44572</v>
      </c>
      <c r="L101" s="283">
        <v>44571</v>
      </c>
      <c r="M101" s="283">
        <v>44481</v>
      </c>
      <c r="N101" s="283">
        <v>44484</v>
      </c>
      <c r="O101" s="283">
        <v>44523</v>
      </c>
      <c r="P101" s="275" t="s">
        <v>12</v>
      </c>
      <c r="Q101" s="275" t="s">
        <v>18</v>
      </c>
      <c r="V101" s="275"/>
      <c r="X101" s="275"/>
      <c r="Y101" s="275"/>
      <c r="Z101" s="276" t="str">
        <f>VLOOKUP(功能_33[[#This Row],[User]],SKL放款!A:G,7,FALSE)</f>
        <v>放款服務課</v>
      </c>
      <c r="AA101" s="283">
        <v>44533</v>
      </c>
      <c r="AB101" s="283">
        <v>44515</v>
      </c>
      <c r="AC101" s="283">
        <v>44523</v>
      </c>
      <c r="AD101" s="283">
        <v>44524</v>
      </c>
      <c r="AE101" s="283">
        <v>44539</v>
      </c>
      <c r="AF101" s="283"/>
      <c r="AG101" s="283"/>
      <c r="AH101" s="283"/>
      <c r="AI101" s="283">
        <f>IFERROR(IF(VLOOKUP(功能_33[[#This Row],[功能代號]],E:S,11,FALSE)=0,"",VLOOKUP(功能_33[[#This Row],[功能代號]],E:S,11,FALSE)),"")</f>
        <v>44523</v>
      </c>
      <c r="AJ101" s="283"/>
      <c r="AK101" s="283"/>
      <c r="AL101" s="276"/>
      <c r="AN101" s="220" t="s">
        <v>2681</v>
      </c>
      <c r="AO101" s="220" t="s">
        <v>2681</v>
      </c>
      <c r="AQ101" s="507" t="str">
        <f t="shared" si="6"/>
        <v>4-1</v>
      </c>
      <c r="AR101" s="509" t="str">
        <f t="shared" si="7"/>
        <v/>
      </c>
      <c r="AS101" s="511" t="str">
        <f t="shared" si="8"/>
        <v/>
      </c>
      <c r="AT101" s="513" t="str">
        <f t="shared" si="9"/>
        <v/>
      </c>
      <c r="AU101" s="515" t="str">
        <f t="shared" si="10"/>
        <v/>
      </c>
      <c r="AV101" s="517" t="str">
        <f t="shared" si="11"/>
        <v/>
      </c>
      <c r="AW101" s="589" t="str">
        <f>IFERROR(VLOOKUP(功能_33[[#This Row],[功能代號]],SIT_FT!D:D,1,FALSE),"")</f>
        <v>L4103</v>
      </c>
    </row>
    <row r="102" spans="1:49" ht="13.5" hidden="1" x14ac:dyDescent="0.3">
      <c r="A102" s="561"/>
      <c r="B102" s="374"/>
      <c r="C102" s="276" t="s">
        <v>80</v>
      </c>
      <c r="D102" s="219" t="s">
        <v>354</v>
      </c>
      <c r="E102" s="275" t="s">
        <v>3004</v>
      </c>
      <c r="F102" s="276" t="s">
        <v>3005</v>
      </c>
      <c r="G102" s="276" t="s">
        <v>3006</v>
      </c>
      <c r="H102" s="275" t="s">
        <v>179</v>
      </c>
      <c r="I102" s="275" t="s">
        <v>189</v>
      </c>
      <c r="J102" s="218" t="s">
        <v>3007</v>
      </c>
      <c r="K102" s="283">
        <v>44572</v>
      </c>
      <c r="L102" s="275"/>
      <c r="M102" s="283">
        <v>44481</v>
      </c>
      <c r="N102" s="283">
        <v>44484</v>
      </c>
      <c r="O102" s="283">
        <v>44523</v>
      </c>
      <c r="P102" s="275" t="s">
        <v>12</v>
      </c>
      <c r="Q102" s="275" t="s">
        <v>18</v>
      </c>
      <c r="V102" s="275"/>
      <c r="X102" s="275"/>
      <c r="Y102" s="275"/>
      <c r="Z102" s="276" t="str">
        <f>VLOOKUP(功能_33[[#This Row],[User]],SKL放款!A:G,7,FALSE)</f>
        <v>放款服務課</v>
      </c>
      <c r="AA102" s="283">
        <v>44533</v>
      </c>
      <c r="AB102" s="283">
        <v>44515</v>
      </c>
      <c r="AC102" s="283">
        <v>44523</v>
      </c>
      <c r="AD102" s="283">
        <v>44524</v>
      </c>
      <c r="AE102" s="283">
        <v>44568</v>
      </c>
      <c r="AF102" s="283"/>
      <c r="AG102" s="283"/>
      <c r="AH102" s="283"/>
      <c r="AI102" s="283">
        <f>IFERROR(IF(VLOOKUP(功能_33[[#This Row],[功能代號]],E:S,11,FALSE)=0,"",VLOOKUP(功能_33[[#This Row],[功能代號]],E:S,11,FALSE)),"")</f>
        <v>44523</v>
      </c>
      <c r="AJ102" s="283"/>
      <c r="AK102" s="283"/>
      <c r="AL102" s="276"/>
      <c r="AN102" s="220" t="s">
        <v>2623</v>
      </c>
      <c r="AO102" s="220" t="s">
        <v>2623</v>
      </c>
      <c r="AQ102" s="507" t="str">
        <f t="shared" ref="AQ102" si="12">IF(COUNTA(AE102)=1,LEFT(D102,3),"")</f>
        <v>4-1</v>
      </c>
      <c r="AR102" s="509" t="str">
        <f t="shared" ref="AR102" si="13">IF(AND(COUNTA(N102)=1,COUNTA(O102)=1,COUNTA(AA102)=1,COUNTA(AD102)=1,COUNTA(AE102)=0),LEFT(D102,3),"")</f>
        <v/>
      </c>
      <c r="AS102" s="511" t="str">
        <f t="shared" ref="AS102" si="14">IF(AND(COUNTA(N102)=1,COUNTA(O102)=1,COUNTA(AA102)=1,COUNTA(AD102)=0,COUNTA(AE102)=0),LEFT(D102,3),"")</f>
        <v/>
      </c>
      <c r="AT102" s="513" t="str">
        <f t="shared" ref="AT102" si="15">IF(AND(COUNTA(O102)=0,COUNTA(AA102)=1),LEFT(D102,3),"")</f>
        <v/>
      </c>
      <c r="AU102" s="515" t="str">
        <f t="shared" ref="AU102" si="16">IF(AND(COUNTA(O102)=1,COUNTA(AA102)=0),LEFT(D102,3),"")</f>
        <v/>
      </c>
      <c r="AV102" s="517" t="str">
        <f t="shared" ref="AV102" si="17">IF(AND(COUNTA(O102)=0,COUNTA(AA102)=0),LEFT(D102,3),"")</f>
        <v/>
      </c>
      <c r="AW102" s="589" t="str">
        <f>IFERROR(VLOOKUP(功能_33[[#This Row],[功能代號]],SIT_FT!D:D,1,FALSE),"")</f>
        <v/>
      </c>
    </row>
    <row r="103" spans="1:49" ht="13.5" hidden="1" x14ac:dyDescent="0.3">
      <c r="C103" s="276" t="s">
        <v>80</v>
      </c>
      <c r="D103" s="219" t="s">
        <v>396</v>
      </c>
      <c r="E103" s="275" t="s">
        <v>397</v>
      </c>
      <c r="F103" s="276" t="s">
        <v>398</v>
      </c>
      <c r="G103" s="276" t="s">
        <v>393</v>
      </c>
      <c r="H103" s="275" t="s">
        <v>179</v>
      </c>
      <c r="I103" s="275" t="s">
        <v>189</v>
      </c>
      <c r="J103" s="218" t="s">
        <v>2606</v>
      </c>
      <c r="K103" s="283">
        <v>44572</v>
      </c>
      <c r="L103" s="283">
        <v>44571</v>
      </c>
      <c r="M103" s="283">
        <v>44481</v>
      </c>
      <c r="N103" s="283">
        <v>44484</v>
      </c>
      <c r="O103" s="283">
        <v>44523</v>
      </c>
      <c r="P103" s="275" t="s">
        <v>12</v>
      </c>
      <c r="Q103" s="275" t="s">
        <v>22</v>
      </c>
      <c r="V103" s="275"/>
      <c r="X103" s="275"/>
      <c r="Y103" s="275"/>
      <c r="Z103" s="276" t="str">
        <f>VLOOKUP(功能_33[[#This Row],[User]],SKL放款!A:G,7,FALSE)</f>
        <v>放款服務課</v>
      </c>
      <c r="AA103" s="283">
        <v>44533</v>
      </c>
      <c r="AB103" s="283">
        <v>44523</v>
      </c>
      <c r="AC103" s="283">
        <v>44523</v>
      </c>
      <c r="AD103" s="283">
        <v>44525</v>
      </c>
      <c r="AE103" s="283">
        <v>44539</v>
      </c>
      <c r="AF103" s="283"/>
      <c r="AG103" s="283"/>
      <c r="AH103" s="283"/>
      <c r="AI103" s="283">
        <f>IFERROR(IF(VLOOKUP(功能_33[[#This Row],[功能代號]],E:S,11,FALSE)=0,"",VLOOKUP(功能_33[[#This Row],[功能代號]],E:S,11,FALSE)),"")</f>
        <v>44523</v>
      </c>
      <c r="AJ103" s="283"/>
      <c r="AK103" s="283"/>
      <c r="AL103" s="276"/>
      <c r="AN103" s="275" t="s">
        <v>2623</v>
      </c>
      <c r="AO103" s="275" t="s">
        <v>2623</v>
      </c>
      <c r="AQ103" s="507" t="str">
        <f t="shared" si="6"/>
        <v>4-2</v>
      </c>
      <c r="AR103" s="509" t="str">
        <f t="shared" si="7"/>
        <v/>
      </c>
      <c r="AS103" s="511" t="str">
        <f t="shared" si="8"/>
        <v/>
      </c>
      <c r="AT103" s="513" t="str">
        <f t="shared" si="9"/>
        <v/>
      </c>
      <c r="AU103" s="515" t="str">
        <f t="shared" si="10"/>
        <v/>
      </c>
      <c r="AV103" s="517" t="str">
        <f t="shared" si="11"/>
        <v/>
      </c>
      <c r="AW103" s="589" t="str">
        <f>IFERROR(VLOOKUP(功能_33[[#This Row],[功能代號]],SIT_FT!D:D,1,FALSE),"")</f>
        <v>L4922</v>
      </c>
    </row>
    <row r="104" spans="1:49" ht="13.5" hidden="1" x14ac:dyDescent="0.3">
      <c r="C104" s="276" t="s">
        <v>80</v>
      </c>
      <c r="D104" s="219" t="s">
        <v>396</v>
      </c>
      <c r="E104" s="275" t="s">
        <v>399</v>
      </c>
      <c r="F104" s="276" t="s">
        <v>400</v>
      </c>
      <c r="G104" s="276" t="s">
        <v>393</v>
      </c>
      <c r="H104" s="275" t="s">
        <v>179</v>
      </c>
      <c r="I104" s="275" t="s">
        <v>189</v>
      </c>
      <c r="J104" s="218" t="s">
        <v>2606</v>
      </c>
      <c r="K104" s="283">
        <v>44572</v>
      </c>
      <c r="L104" s="283">
        <v>44571</v>
      </c>
      <c r="M104" s="283">
        <v>44481</v>
      </c>
      <c r="N104" s="283">
        <v>44484</v>
      </c>
      <c r="O104" s="283">
        <v>44523</v>
      </c>
      <c r="P104" s="275" t="s">
        <v>12</v>
      </c>
      <c r="Q104" s="275" t="s">
        <v>22</v>
      </c>
      <c r="V104" s="275"/>
      <c r="X104" s="275"/>
      <c r="Y104" s="275"/>
      <c r="Z104" s="276" t="str">
        <f>VLOOKUP(功能_33[[#This Row],[User]],SKL放款!A:G,7,FALSE)</f>
        <v>放款服務課</v>
      </c>
      <c r="AA104" s="283">
        <v>44533</v>
      </c>
      <c r="AB104" s="283">
        <v>44523</v>
      </c>
      <c r="AC104" s="283">
        <v>44523</v>
      </c>
      <c r="AD104" s="283">
        <v>44525</v>
      </c>
      <c r="AE104" s="283">
        <v>44539</v>
      </c>
      <c r="AF104" s="283"/>
      <c r="AG104" s="283"/>
      <c r="AH104" s="283"/>
      <c r="AI104" s="283">
        <f>IFERROR(IF(VLOOKUP(功能_33[[#This Row],[功能代號]],E:S,11,FALSE)=0,"",VLOOKUP(功能_33[[#This Row],[功能代號]],E:S,11,FALSE)),"")</f>
        <v>44523</v>
      </c>
      <c r="AJ104" s="283"/>
      <c r="AK104" s="283"/>
      <c r="AL104" s="276"/>
      <c r="AN104" s="275" t="s">
        <v>2623</v>
      </c>
      <c r="AO104" s="275" t="s">
        <v>2623</v>
      </c>
      <c r="AQ104" s="507" t="str">
        <f t="shared" si="6"/>
        <v>4-2</v>
      </c>
      <c r="AR104" s="509" t="str">
        <f t="shared" si="7"/>
        <v/>
      </c>
      <c r="AS104" s="511" t="str">
        <f t="shared" si="8"/>
        <v/>
      </c>
      <c r="AT104" s="513" t="str">
        <f t="shared" si="9"/>
        <v/>
      </c>
      <c r="AU104" s="515" t="str">
        <f t="shared" si="10"/>
        <v/>
      </c>
      <c r="AV104" s="517" t="str">
        <f t="shared" si="11"/>
        <v/>
      </c>
      <c r="AW104" s="589" t="str">
        <f>IFERROR(VLOOKUP(功能_33[[#This Row],[功能代號]],SIT_FT!D:D,1,FALSE),"")</f>
        <v>L4923</v>
      </c>
    </row>
    <row r="105" spans="1:49" ht="13.5" hidden="1" x14ac:dyDescent="0.3">
      <c r="C105" s="276" t="s">
        <v>81</v>
      </c>
      <c r="D105" s="276" t="s">
        <v>2485</v>
      </c>
      <c r="E105" s="275" t="s">
        <v>959</v>
      </c>
      <c r="F105" s="276" t="s">
        <v>960</v>
      </c>
      <c r="G105" s="276"/>
      <c r="H105" s="275" t="s">
        <v>179</v>
      </c>
      <c r="I105" s="275" t="s">
        <v>300</v>
      </c>
      <c r="J105" s="282" t="s">
        <v>2774</v>
      </c>
      <c r="K105" s="283">
        <v>44575</v>
      </c>
      <c r="L105" s="283">
        <v>44572</v>
      </c>
      <c r="M105" s="283">
        <v>44504</v>
      </c>
      <c r="N105" s="283">
        <v>44505</v>
      </c>
      <c r="O105" s="283">
        <v>44513</v>
      </c>
      <c r="P105" s="275" t="s">
        <v>8</v>
      </c>
      <c r="Q105" s="275" t="s">
        <v>11</v>
      </c>
      <c r="V105" s="275"/>
      <c r="X105" s="275"/>
      <c r="Y105" s="275"/>
      <c r="Z105" s="276" t="str">
        <f>VLOOKUP(功能_33[[#This Row],[User]],SKL放款!A:G,7,FALSE)</f>
        <v>放款服務課</v>
      </c>
      <c r="AA105" s="283">
        <v>44513</v>
      </c>
      <c r="AB105" s="283" t="s">
        <v>2408</v>
      </c>
      <c r="AC105" s="283">
        <v>44543</v>
      </c>
      <c r="AD105" s="283">
        <v>44543</v>
      </c>
      <c r="AE105" s="283">
        <v>44544</v>
      </c>
      <c r="AF105" s="283"/>
      <c r="AG105" s="283"/>
      <c r="AH105" s="334"/>
      <c r="AI105" s="283">
        <f>IFERROR(IF(VLOOKUP(功能_33[[#This Row],[功能代號]],E:S,11,FALSE)=0,"",VLOOKUP(功能_33[[#This Row],[功能代號]],E:S,11,FALSE)),"")</f>
        <v>44513</v>
      </c>
      <c r="AJ105" s="283"/>
      <c r="AK105" s="283"/>
      <c r="AL105" s="276"/>
      <c r="AM105" s="283"/>
      <c r="AN105" s="287" t="s">
        <v>957</v>
      </c>
      <c r="AO105" s="288" t="s">
        <v>961</v>
      </c>
      <c r="AQ105" s="507" t="str">
        <f t="shared" si="6"/>
        <v>5-1</v>
      </c>
      <c r="AR105" s="509" t="str">
        <f t="shared" si="7"/>
        <v/>
      </c>
      <c r="AS105" s="511" t="str">
        <f t="shared" si="8"/>
        <v/>
      </c>
      <c r="AT105" s="513" t="str">
        <f t="shared" si="9"/>
        <v/>
      </c>
      <c r="AU105" s="515" t="str">
        <f t="shared" si="10"/>
        <v/>
      </c>
      <c r="AV105" s="517" t="str">
        <f t="shared" si="11"/>
        <v/>
      </c>
      <c r="AW105" s="589" t="str">
        <f>IFERROR(VLOOKUP(功能_33[[#This Row],[功能代號]],SIT_FT!D:D,1,FALSE),"")</f>
        <v>L5101</v>
      </c>
    </row>
    <row r="106" spans="1:49" ht="27" hidden="1" x14ac:dyDescent="0.3">
      <c r="C106" s="276" t="s">
        <v>80</v>
      </c>
      <c r="D106" s="276" t="s">
        <v>405</v>
      </c>
      <c r="E106" s="275" t="s">
        <v>406</v>
      </c>
      <c r="F106" s="276" t="s">
        <v>407</v>
      </c>
      <c r="G106" s="276"/>
      <c r="H106" s="275" t="s">
        <v>179</v>
      </c>
      <c r="I106" s="275" t="s">
        <v>180</v>
      </c>
      <c r="J106" s="218" t="s">
        <v>2606</v>
      </c>
      <c r="K106" s="283">
        <v>44587</v>
      </c>
      <c r="L106" s="275"/>
      <c r="M106" s="283">
        <v>44452</v>
      </c>
      <c r="N106" s="283">
        <v>44452</v>
      </c>
      <c r="O106" s="283">
        <v>44372</v>
      </c>
      <c r="P106" s="275" t="s">
        <v>8</v>
      </c>
      <c r="Q106" s="275" t="s">
        <v>24</v>
      </c>
      <c r="V106" s="275"/>
      <c r="X106" s="275"/>
      <c r="Y106" s="275"/>
      <c r="Z106" s="276" t="str">
        <f>VLOOKUP(功能_33[[#This Row],[User]],SKL放款!A:G,7,FALSE)</f>
        <v>放款服務課</v>
      </c>
      <c r="AA106" s="283">
        <v>44496</v>
      </c>
      <c r="AB106" s="283" t="s">
        <v>181</v>
      </c>
      <c r="AC106" s="283">
        <v>44525</v>
      </c>
      <c r="AD106" s="283">
        <v>44524</v>
      </c>
      <c r="AE106" s="283">
        <v>44539</v>
      </c>
      <c r="AF106" s="283"/>
      <c r="AG106" s="283"/>
      <c r="AH106" s="334"/>
      <c r="AI106" s="283">
        <f>IFERROR(IF(VLOOKUP(功能_33[[#This Row],[功能代號]],E:S,11,FALSE)=0,"",VLOOKUP(功能_33[[#This Row],[功能代號]],E:S,11,FALSE)),"")</f>
        <v>44372</v>
      </c>
      <c r="AJ106" s="283"/>
      <c r="AK106" s="283"/>
      <c r="AL106" s="276"/>
      <c r="AM106" s="283"/>
      <c r="AN106" s="292" t="s">
        <v>2648</v>
      </c>
      <c r="AO106" s="212" t="s">
        <v>2649</v>
      </c>
      <c r="AQ106" s="507" t="str">
        <f t="shared" si="6"/>
        <v>4-7</v>
      </c>
      <c r="AR106" s="509" t="str">
        <f t="shared" si="7"/>
        <v/>
      </c>
      <c r="AS106" s="511" t="str">
        <f t="shared" si="8"/>
        <v/>
      </c>
      <c r="AT106" s="513" t="str">
        <f t="shared" si="9"/>
        <v/>
      </c>
      <c r="AU106" s="515" t="str">
        <f t="shared" si="10"/>
        <v/>
      </c>
      <c r="AV106" s="517" t="str">
        <f t="shared" si="11"/>
        <v/>
      </c>
      <c r="AW106" s="589" t="str">
        <f>IFERROR(VLOOKUP(功能_33[[#This Row],[功能代號]],SIT_FT!D:D,1,FALSE),"")</f>
        <v>L4701</v>
      </c>
    </row>
    <row r="107" spans="1:49" ht="13.5" x14ac:dyDescent="0.3">
      <c r="B107" s="276">
        <v>1</v>
      </c>
      <c r="C107" s="276" t="s">
        <v>79</v>
      </c>
      <c r="D107" s="337" t="s">
        <v>2502</v>
      </c>
      <c r="E107" s="275" t="s">
        <v>408</v>
      </c>
      <c r="F107" s="276" t="s">
        <v>409</v>
      </c>
      <c r="G107" s="276"/>
      <c r="H107" s="275" t="s">
        <v>179</v>
      </c>
      <c r="I107" s="275" t="s">
        <v>180</v>
      </c>
      <c r="J107" s="218" t="s">
        <v>3012</v>
      </c>
      <c r="K107" s="283">
        <v>44581</v>
      </c>
      <c r="L107" s="275"/>
      <c r="M107" s="283">
        <v>44452</v>
      </c>
      <c r="N107" s="283">
        <v>44452</v>
      </c>
      <c r="O107" s="283">
        <f>IFERROR(IF(VLOOKUP(功能_33[[#This Row],[功能代號]],討論項目!A:H,8,FALSE)=0,"",VLOOKUP(功能_33[[#This Row],[功能代號]],討論項目!A:H,8,FALSE)),"")</f>
        <v>44487</v>
      </c>
      <c r="P107" s="275" t="s">
        <v>8</v>
      </c>
      <c r="Q107" s="275" t="s">
        <v>24</v>
      </c>
      <c r="V107" s="275"/>
      <c r="X107" s="275"/>
      <c r="Y107" s="275"/>
      <c r="Z107" s="276" t="str">
        <f>VLOOKUP(功能_33[[#This Row],[User]],SKL放款!A:G,7,FALSE)</f>
        <v>放款服務課</v>
      </c>
      <c r="AA107" s="283">
        <v>44496</v>
      </c>
      <c r="AB107" s="283">
        <v>44488</v>
      </c>
      <c r="AC107" s="283">
        <v>44496</v>
      </c>
      <c r="AD107" s="283">
        <v>44496</v>
      </c>
      <c r="AE107" s="283">
        <v>44512</v>
      </c>
      <c r="AF107" s="283" t="s">
        <v>182</v>
      </c>
      <c r="AG107" s="283"/>
      <c r="AH107" s="334"/>
      <c r="AI107" s="283">
        <f>IFERROR(IF(VLOOKUP(功能_33[[#This Row],[功能代號]],E:S,11,FALSE)=0,"",VLOOKUP(功能_33[[#This Row],[功能代號]],E:S,11,FALSE)),"")</f>
        <v>44487</v>
      </c>
      <c r="AJ107" s="283"/>
      <c r="AK107" s="283"/>
      <c r="AL107" s="276"/>
      <c r="AM107" s="283"/>
      <c r="AN107" s="275">
        <v>338</v>
      </c>
      <c r="AO107" s="276" t="s">
        <v>410</v>
      </c>
      <c r="AQ107" s="507" t="str">
        <f t="shared" si="6"/>
        <v>3-3</v>
      </c>
      <c r="AR107" s="509" t="str">
        <f t="shared" si="7"/>
        <v/>
      </c>
      <c r="AS107" s="511" t="str">
        <f t="shared" si="8"/>
        <v/>
      </c>
      <c r="AT107" s="513" t="str">
        <f t="shared" si="9"/>
        <v/>
      </c>
      <c r="AU107" s="515" t="str">
        <f t="shared" si="10"/>
        <v/>
      </c>
      <c r="AV107" s="517" t="str">
        <f t="shared" si="11"/>
        <v/>
      </c>
      <c r="AW107" s="589" t="str">
        <f>IFERROR(VLOOKUP(功能_33[[#This Row],[功能代號]],SIT_FT!D:D,1,FALSE),"")</f>
        <v>L3007</v>
      </c>
    </row>
    <row r="108" spans="1:49" ht="40.5" hidden="1" x14ac:dyDescent="0.3">
      <c r="B108" s="276">
        <v>1</v>
      </c>
      <c r="C108" s="276" t="s">
        <v>79</v>
      </c>
      <c r="D108" s="337" t="s">
        <v>2502</v>
      </c>
      <c r="E108" s="275" t="s">
        <v>411</v>
      </c>
      <c r="F108" s="276" t="s">
        <v>412</v>
      </c>
      <c r="G108" s="276"/>
      <c r="H108" s="275" t="s">
        <v>179</v>
      </c>
      <c r="I108" s="275" t="s">
        <v>180</v>
      </c>
      <c r="J108" s="218" t="s">
        <v>296</v>
      </c>
      <c r="K108" s="283">
        <v>44580</v>
      </c>
      <c r="L108" s="275"/>
      <c r="M108" s="283">
        <v>44452</v>
      </c>
      <c r="N108" s="283">
        <v>44452</v>
      </c>
      <c r="O108" s="283">
        <f>IFERROR(IF(VLOOKUP(功能_33[[#This Row],[功能代號]],討論項目!A:H,8,FALSE)=0,"",VLOOKUP(功能_33[[#This Row],[功能代號]],討論項目!A:H,8,FALSE)),"")</f>
        <v>44487</v>
      </c>
      <c r="P108" s="275" t="s">
        <v>8</v>
      </c>
      <c r="Q108" s="275" t="s">
        <v>24</v>
      </c>
      <c r="V108" s="275"/>
      <c r="X108" s="275"/>
      <c r="Y108" s="275"/>
      <c r="Z108" s="276" t="str">
        <f>VLOOKUP(功能_33[[#This Row],[User]],SKL放款!A:G,7,FALSE)</f>
        <v>放款服務課</v>
      </c>
      <c r="AA108" s="283">
        <v>44496</v>
      </c>
      <c r="AB108" s="283">
        <v>44488</v>
      </c>
      <c r="AC108" s="283">
        <v>44496</v>
      </c>
      <c r="AD108" s="283">
        <v>44496</v>
      </c>
      <c r="AE108" s="283">
        <v>44512</v>
      </c>
      <c r="AF108" s="283" t="s">
        <v>182</v>
      </c>
      <c r="AG108" s="283"/>
      <c r="AH108" s="334"/>
      <c r="AI108" s="283">
        <f>IFERROR(IF(VLOOKUP(功能_33[[#This Row],[功能代號]],E:S,11,FALSE)=0,"",VLOOKUP(功能_33[[#This Row],[功能代號]],E:S,11,FALSE)),"")</f>
        <v>44487</v>
      </c>
      <c r="AJ108" s="283"/>
      <c r="AK108" s="283"/>
      <c r="AL108" s="276"/>
      <c r="AM108" s="283"/>
      <c r="AN108" s="292" t="s">
        <v>2692</v>
      </c>
      <c r="AO108" s="212" t="s">
        <v>2693</v>
      </c>
      <c r="AQ108" s="507" t="str">
        <f t="shared" si="6"/>
        <v>3-3</v>
      </c>
      <c r="AR108" s="509" t="str">
        <f t="shared" si="7"/>
        <v/>
      </c>
      <c r="AS108" s="511" t="str">
        <f t="shared" si="8"/>
        <v/>
      </c>
      <c r="AT108" s="513" t="str">
        <f t="shared" si="9"/>
        <v/>
      </c>
      <c r="AU108" s="515" t="str">
        <f t="shared" si="10"/>
        <v/>
      </c>
      <c r="AV108" s="517" t="str">
        <f t="shared" si="11"/>
        <v/>
      </c>
      <c r="AW108" s="589" t="str">
        <f>IFERROR(VLOOKUP(功能_33[[#This Row],[功能代號]],SIT_FT!D:D,1,FALSE),"")</f>
        <v>L3009</v>
      </c>
    </row>
    <row r="109" spans="1:49" ht="13.5" x14ac:dyDescent="0.3">
      <c r="B109" s="276">
        <v>1</v>
      </c>
      <c r="C109" s="276" t="s">
        <v>79</v>
      </c>
      <c r="D109" s="337" t="s">
        <v>2502</v>
      </c>
      <c r="E109" s="275" t="s">
        <v>413</v>
      </c>
      <c r="F109" s="276" t="s">
        <v>414</v>
      </c>
      <c r="G109" s="276"/>
      <c r="H109" s="275" t="s">
        <v>179</v>
      </c>
      <c r="I109" s="275" t="s">
        <v>180</v>
      </c>
      <c r="J109" s="218" t="s">
        <v>3012</v>
      </c>
      <c r="K109" s="283">
        <v>44580</v>
      </c>
      <c r="L109" s="275"/>
      <c r="M109" s="283">
        <v>44452</v>
      </c>
      <c r="N109" s="283">
        <v>44452</v>
      </c>
      <c r="O109" s="283">
        <f>IFERROR(IF(VLOOKUP(功能_33[[#This Row],[功能代號]],討論項目!A:H,8,FALSE)=0,"",VLOOKUP(功能_33[[#This Row],[功能代號]],討論項目!A:H,8,FALSE)),"")</f>
        <v>44487</v>
      </c>
      <c r="P109" s="275" t="s">
        <v>8</v>
      </c>
      <c r="Q109" s="275" t="s">
        <v>24</v>
      </c>
      <c r="V109" s="275"/>
      <c r="X109" s="275"/>
      <c r="Y109" s="275"/>
      <c r="Z109" s="276" t="str">
        <f>VLOOKUP(功能_33[[#This Row],[User]],SKL放款!A:G,7,FALSE)</f>
        <v>放款服務課</v>
      </c>
      <c r="AA109" s="283">
        <v>44496</v>
      </c>
      <c r="AB109" s="283">
        <v>44488</v>
      </c>
      <c r="AC109" s="283">
        <v>44496</v>
      </c>
      <c r="AD109" s="283">
        <v>44496</v>
      </c>
      <c r="AE109" s="283">
        <v>44512</v>
      </c>
      <c r="AF109" s="283" t="s">
        <v>182</v>
      </c>
      <c r="AG109" s="283"/>
      <c r="AH109" s="334"/>
      <c r="AI109" s="283">
        <f>IFERROR(IF(VLOOKUP(功能_33[[#This Row],[功能代號]],E:S,11,FALSE)=0,"",VLOOKUP(功能_33[[#This Row],[功能代號]],E:S,11,FALSE)),"")</f>
        <v>44487</v>
      </c>
      <c r="AJ109" s="283"/>
      <c r="AK109" s="283"/>
      <c r="AL109" s="276"/>
      <c r="AM109" s="283"/>
      <c r="AN109" s="275" t="s">
        <v>176</v>
      </c>
      <c r="AQ109" s="507" t="str">
        <f t="shared" si="6"/>
        <v>3-3</v>
      </c>
      <c r="AR109" s="509" t="str">
        <f t="shared" si="7"/>
        <v/>
      </c>
      <c r="AS109" s="511" t="str">
        <f t="shared" si="8"/>
        <v/>
      </c>
      <c r="AT109" s="513" t="str">
        <f t="shared" si="9"/>
        <v/>
      </c>
      <c r="AU109" s="515" t="str">
        <f t="shared" si="10"/>
        <v/>
      </c>
      <c r="AV109" s="517" t="str">
        <f t="shared" si="11"/>
        <v/>
      </c>
      <c r="AW109" s="589" t="str">
        <f>IFERROR(VLOOKUP(功能_33[[#This Row],[功能代號]],SIT_FT!D:D,1,FALSE),"")</f>
        <v>L3943</v>
      </c>
    </row>
    <row r="110" spans="1:49" ht="13.5" hidden="1" x14ac:dyDescent="0.3">
      <c r="C110" s="276" t="s">
        <v>78</v>
      </c>
      <c r="D110" s="276" t="s">
        <v>2508</v>
      </c>
      <c r="E110" s="275" t="s">
        <v>415</v>
      </c>
      <c r="F110" s="276" t="s">
        <v>416</v>
      </c>
      <c r="G110" s="276"/>
      <c r="H110" s="275" t="s">
        <v>179</v>
      </c>
      <c r="I110" s="275" t="s">
        <v>189</v>
      </c>
      <c r="J110" s="218" t="s">
        <v>2864</v>
      </c>
      <c r="K110" s="283">
        <v>44558</v>
      </c>
      <c r="L110" s="283">
        <v>44558</v>
      </c>
      <c r="M110" s="283">
        <v>44453</v>
      </c>
      <c r="N110" s="283">
        <v>44453</v>
      </c>
      <c r="O110" s="283">
        <f>IFERROR(IF(VLOOKUP(功能_33[[#This Row],[功能代號]],討論項目!A:H,8,FALSE)=0,"",VLOOKUP(功能_33[[#This Row],[功能代號]],討論項目!A:H,8,FALSE)),"")</f>
        <v>44461</v>
      </c>
      <c r="P110" s="275" t="s">
        <v>12</v>
      </c>
      <c r="Q110" s="275" t="s">
        <v>11</v>
      </c>
      <c r="V110" s="275"/>
      <c r="X110" s="275"/>
      <c r="Y110" s="275"/>
      <c r="Z110" s="276" t="str">
        <f>VLOOKUP(功能_33[[#This Row],[User]],SKL放款!A:G,7,FALSE)</f>
        <v>放款服務課</v>
      </c>
      <c r="AA110" s="283">
        <v>44533</v>
      </c>
      <c r="AB110" s="283">
        <v>44470</v>
      </c>
      <c r="AC110" s="283">
        <f>IF(功能_33[[#This Row],[URS交二審]]=0,"",功能_33[[#This Row],[URS交二審]]+7)</f>
        <v>44477</v>
      </c>
      <c r="AD110" s="283">
        <f>IF(功能_33[[#This Row],[URS交二審]]=0,"",功能_33[[#This Row],[URS交二審]]+7)</f>
        <v>44477</v>
      </c>
      <c r="AE110" s="283">
        <v>44546</v>
      </c>
      <c r="AF110" s="283" t="s">
        <v>182</v>
      </c>
      <c r="AG110" s="283"/>
      <c r="AH110" s="334"/>
      <c r="AI110" s="283">
        <f>IFERROR(IF(VLOOKUP(功能_33[[#This Row],[功能代號]],E:S,11,FALSE)=0,"",VLOOKUP(功能_33[[#This Row],[功能代號]],E:S,11,FALSE)),"")</f>
        <v>44461</v>
      </c>
      <c r="AJ110" s="283"/>
      <c r="AK110" s="283"/>
      <c r="AL110" s="276"/>
      <c r="AM110" s="283"/>
      <c r="AN110" s="275" t="s">
        <v>417</v>
      </c>
      <c r="AO110" s="276" t="s">
        <v>418</v>
      </c>
      <c r="AQ110" s="507" t="str">
        <f t="shared" si="6"/>
        <v>2-9</v>
      </c>
      <c r="AR110" s="509" t="str">
        <f t="shared" si="7"/>
        <v/>
      </c>
      <c r="AS110" s="511" t="str">
        <f t="shared" si="8"/>
        <v/>
      </c>
      <c r="AT110" s="513" t="str">
        <f t="shared" si="9"/>
        <v/>
      </c>
      <c r="AU110" s="515" t="str">
        <f t="shared" si="10"/>
        <v/>
      </c>
      <c r="AV110" s="517" t="str">
        <f t="shared" si="11"/>
        <v/>
      </c>
      <c r="AW110" s="589" t="str">
        <f>IFERROR(VLOOKUP(功能_33[[#This Row],[功能代號]],SIT_FT!D:D,1,FALSE),"")</f>
        <v>L2061</v>
      </c>
    </row>
    <row r="111" spans="1:49" ht="13.5" hidden="1" x14ac:dyDescent="0.3">
      <c r="C111" s="276" t="s">
        <v>78</v>
      </c>
      <c r="D111" s="276" t="s">
        <v>2508</v>
      </c>
      <c r="E111" s="275" t="s">
        <v>419</v>
      </c>
      <c r="F111" s="276" t="s">
        <v>420</v>
      </c>
      <c r="G111" s="276"/>
      <c r="H111" s="275" t="s">
        <v>179</v>
      </c>
      <c r="I111" s="275" t="s">
        <v>189</v>
      </c>
      <c r="J111" s="218" t="s">
        <v>2864</v>
      </c>
      <c r="K111" s="283">
        <v>44558</v>
      </c>
      <c r="L111" s="283">
        <v>44558</v>
      </c>
      <c r="M111" s="283">
        <v>44453</v>
      </c>
      <c r="N111" s="283">
        <v>44453</v>
      </c>
      <c r="O111" s="283">
        <f>IFERROR(IF(VLOOKUP(功能_33[[#This Row],[功能代號]],討論項目!A:H,8,FALSE)=0,"",VLOOKUP(功能_33[[#This Row],[功能代號]],討論項目!A:H,8,FALSE)),"")</f>
        <v>44461</v>
      </c>
      <c r="P111" s="275" t="s">
        <v>12</v>
      </c>
      <c r="Q111" s="275" t="s">
        <v>11</v>
      </c>
      <c r="V111" s="275"/>
      <c r="X111" s="275"/>
      <c r="Y111" s="275"/>
      <c r="Z111" s="276" t="str">
        <f>VLOOKUP(功能_33[[#This Row],[User]],SKL放款!A:G,7,FALSE)</f>
        <v>放款服務課</v>
      </c>
      <c r="AA111" s="283">
        <v>44533</v>
      </c>
      <c r="AB111" s="283">
        <v>44470</v>
      </c>
      <c r="AC111" s="283">
        <f>IF(功能_33[[#This Row],[URS交二審]]=0,"",功能_33[[#This Row],[URS交二審]]+7)</f>
        <v>44477</v>
      </c>
      <c r="AD111" s="283">
        <f>IF(功能_33[[#This Row],[URS交二審]]=0,"",功能_33[[#This Row],[URS交二審]]+7)</f>
        <v>44477</v>
      </c>
      <c r="AE111" s="283">
        <v>44546</v>
      </c>
      <c r="AF111" s="283" t="s">
        <v>182</v>
      </c>
      <c r="AG111" s="283"/>
      <c r="AH111" s="334"/>
      <c r="AI111" s="283">
        <f>IFERROR(IF(VLOOKUP(功能_33[[#This Row],[功能代號]],E:S,11,FALSE)=0,"",VLOOKUP(功能_33[[#This Row],[功能代號]],E:S,11,FALSE)),"")</f>
        <v>44461</v>
      </c>
      <c r="AJ111" s="283"/>
      <c r="AK111" s="283"/>
      <c r="AL111" s="276"/>
      <c r="AM111" s="283"/>
      <c r="AN111" s="275" t="s">
        <v>417</v>
      </c>
      <c r="AO111" s="276" t="s">
        <v>421</v>
      </c>
      <c r="AQ111" s="507" t="str">
        <f t="shared" si="6"/>
        <v>2-9</v>
      </c>
      <c r="AR111" s="509" t="str">
        <f t="shared" si="7"/>
        <v/>
      </c>
      <c r="AS111" s="511" t="str">
        <f t="shared" si="8"/>
        <v/>
      </c>
      <c r="AT111" s="513" t="str">
        <f t="shared" si="9"/>
        <v/>
      </c>
      <c r="AU111" s="515" t="str">
        <f t="shared" si="10"/>
        <v/>
      </c>
      <c r="AV111" s="517" t="str">
        <f t="shared" si="11"/>
        <v/>
      </c>
      <c r="AW111" s="589" t="str">
        <f>IFERROR(VLOOKUP(功能_33[[#This Row],[功能代號]],SIT_FT!D:D,1,FALSE),"")</f>
        <v>L2670</v>
      </c>
    </row>
    <row r="112" spans="1:49" ht="13.5" hidden="1" x14ac:dyDescent="0.3">
      <c r="C112" s="276" t="s">
        <v>78</v>
      </c>
      <c r="D112" s="276" t="s">
        <v>2508</v>
      </c>
      <c r="E112" s="275" t="s">
        <v>422</v>
      </c>
      <c r="F112" s="276" t="s">
        <v>423</v>
      </c>
      <c r="G112" s="276"/>
      <c r="H112" s="275" t="s">
        <v>179</v>
      </c>
      <c r="I112" s="275" t="s">
        <v>189</v>
      </c>
      <c r="J112" s="218" t="s">
        <v>2864</v>
      </c>
      <c r="K112" s="283">
        <v>44558</v>
      </c>
      <c r="L112" s="283">
        <v>44558</v>
      </c>
      <c r="M112" s="283">
        <v>44453</v>
      </c>
      <c r="N112" s="283">
        <v>44453</v>
      </c>
      <c r="O112" s="283">
        <f>IFERROR(IF(VLOOKUP(功能_33[[#This Row],[功能代號]],討論項目!A:H,8,FALSE)=0,"",VLOOKUP(功能_33[[#This Row],[功能代號]],討論項目!A:H,8,FALSE)),"")</f>
        <v>44461</v>
      </c>
      <c r="P112" s="275" t="s">
        <v>12</v>
      </c>
      <c r="Q112" s="275" t="s">
        <v>11</v>
      </c>
      <c r="V112" s="275"/>
      <c r="X112" s="275"/>
      <c r="Y112" s="275"/>
      <c r="Z112" s="276" t="str">
        <f>VLOOKUP(功能_33[[#This Row],[User]],SKL放款!A:G,7,FALSE)</f>
        <v>放款服務課</v>
      </c>
      <c r="AA112" s="283">
        <v>44533</v>
      </c>
      <c r="AB112" s="283">
        <v>44470</v>
      </c>
      <c r="AC112" s="283">
        <f>IF(功能_33[[#This Row],[URS交二審]]=0,"",功能_33[[#This Row],[URS交二審]]+7)</f>
        <v>44477</v>
      </c>
      <c r="AD112" s="283">
        <f>IF(功能_33[[#This Row],[URS交二審]]=0,"",功能_33[[#This Row],[URS交二審]]+7)</f>
        <v>44477</v>
      </c>
      <c r="AE112" s="283">
        <v>44546</v>
      </c>
      <c r="AF112" s="283" t="s">
        <v>182</v>
      </c>
      <c r="AG112" s="283"/>
      <c r="AH112" s="334"/>
      <c r="AI112" s="283">
        <f>IFERROR(IF(VLOOKUP(功能_33[[#This Row],[功能代號]],E:S,11,FALSE)=0,"",VLOOKUP(功能_33[[#This Row],[功能代號]],E:S,11,FALSE)),"")</f>
        <v>44461</v>
      </c>
      <c r="AJ112" s="283"/>
      <c r="AK112" s="283"/>
      <c r="AL112" s="276"/>
      <c r="AM112" s="283"/>
      <c r="AN112" s="275" t="s">
        <v>424</v>
      </c>
      <c r="AO112" s="276" t="s">
        <v>418</v>
      </c>
      <c r="AQ112" s="507" t="str">
        <f t="shared" si="6"/>
        <v>2-9</v>
      </c>
      <c r="AR112" s="509" t="str">
        <f t="shared" si="7"/>
        <v/>
      </c>
      <c r="AS112" s="511" t="str">
        <f t="shared" si="8"/>
        <v/>
      </c>
      <c r="AT112" s="513" t="str">
        <f t="shared" si="9"/>
        <v/>
      </c>
      <c r="AU112" s="515" t="str">
        <f t="shared" si="10"/>
        <v/>
      </c>
      <c r="AV112" s="517" t="str">
        <f t="shared" si="11"/>
        <v/>
      </c>
      <c r="AW112" s="589" t="str">
        <f>IFERROR(VLOOKUP(功能_33[[#This Row],[功能代號]],SIT_FT!D:D,1,FALSE),"")</f>
        <v>L2062</v>
      </c>
    </row>
    <row r="113" spans="1:49" ht="13.5" hidden="1" x14ac:dyDescent="0.3">
      <c r="C113" s="276" t="s">
        <v>80</v>
      </c>
      <c r="D113" s="276" t="s">
        <v>425</v>
      </c>
      <c r="E113" s="275" t="s">
        <v>426</v>
      </c>
      <c r="F113" s="276" t="s">
        <v>427</v>
      </c>
      <c r="G113" s="276"/>
      <c r="H113" s="275" t="s">
        <v>179</v>
      </c>
      <c r="I113" s="275" t="s">
        <v>2449</v>
      </c>
      <c r="J113" s="218" t="s">
        <v>2606</v>
      </c>
      <c r="K113" s="283">
        <v>44572</v>
      </c>
      <c r="L113" s="283">
        <v>44571</v>
      </c>
      <c r="M113" s="283">
        <v>44455</v>
      </c>
      <c r="N113" s="283">
        <v>44455</v>
      </c>
      <c r="O113" s="283">
        <v>44523</v>
      </c>
      <c r="P113" s="275" t="s">
        <v>10</v>
      </c>
      <c r="Q113" s="275" t="s">
        <v>24</v>
      </c>
      <c r="V113" s="275"/>
      <c r="X113" s="275"/>
      <c r="Y113" s="275"/>
      <c r="Z113" s="276" t="str">
        <f>VLOOKUP(功能_33[[#This Row],[User]],SKL放款!A:G,7,FALSE)</f>
        <v>放款服務課</v>
      </c>
      <c r="AA113" s="283">
        <v>44533</v>
      </c>
      <c r="AB113" s="283" t="s">
        <v>181</v>
      </c>
      <c r="AC113" s="283">
        <v>44524</v>
      </c>
      <c r="AD113" s="283">
        <v>44524</v>
      </c>
      <c r="AE113" s="283">
        <v>44539</v>
      </c>
      <c r="AF113" s="283"/>
      <c r="AG113" s="283"/>
      <c r="AH113" s="334"/>
      <c r="AI113" s="283">
        <f>IFERROR(IF(VLOOKUP(功能_33[[#This Row],[功能代號]],E:S,11,FALSE)=0,"",VLOOKUP(功能_33[[#This Row],[功能代號]],E:S,11,FALSE)),"")</f>
        <v>44523</v>
      </c>
      <c r="AJ113" s="283"/>
      <c r="AK113" s="283"/>
      <c r="AL113" s="276"/>
      <c r="AM113" s="283"/>
      <c r="AN113" s="275" t="s">
        <v>2623</v>
      </c>
      <c r="AO113" s="275" t="s">
        <v>2623</v>
      </c>
      <c r="AQ113" s="507" t="str">
        <f t="shared" si="6"/>
        <v>4-6</v>
      </c>
      <c r="AR113" s="509" t="str">
        <f t="shared" si="7"/>
        <v/>
      </c>
      <c r="AS113" s="511" t="str">
        <f t="shared" si="8"/>
        <v/>
      </c>
      <c r="AT113" s="513" t="str">
        <f t="shared" si="9"/>
        <v/>
      </c>
      <c r="AU113" s="515" t="str">
        <f t="shared" si="10"/>
        <v/>
      </c>
      <c r="AV113" s="517" t="str">
        <f t="shared" si="11"/>
        <v/>
      </c>
      <c r="AW113" s="589" t="str">
        <f>IFERROR(VLOOKUP(功能_33[[#This Row],[功能代號]],SIT_FT!D:D,1,FALSE),"")</f>
        <v>L4060</v>
      </c>
    </row>
    <row r="114" spans="1:49" ht="13.5" hidden="1" x14ac:dyDescent="0.3">
      <c r="C114" s="276" t="s">
        <v>80</v>
      </c>
      <c r="D114" s="276" t="s">
        <v>425</v>
      </c>
      <c r="E114" s="275" t="s">
        <v>428</v>
      </c>
      <c r="F114" s="276" t="s">
        <v>429</v>
      </c>
      <c r="G114" s="276"/>
      <c r="H114" s="275" t="s">
        <v>179</v>
      </c>
      <c r="I114" s="275" t="s">
        <v>2449</v>
      </c>
      <c r="J114" s="218" t="s">
        <v>2606</v>
      </c>
      <c r="K114" s="283">
        <v>44572</v>
      </c>
      <c r="L114" s="283">
        <v>44571</v>
      </c>
      <c r="M114" s="283">
        <v>44455</v>
      </c>
      <c r="N114" s="283">
        <v>44455</v>
      </c>
      <c r="O114" s="283">
        <v>44533</v>
      </c>
      <c r="P114" s="275" t="s">
        <v>10</v>
      </c>
      <c r="Q114" s="275" t="s">
        <v>24</v>
      </c>
      <c r="V114" s="275"/>
      <c r="X114" s="275"/>
      <c r="Y114" s="275"/>
      <c r="Z114" s="276" t="str">
        <f>VLOOKUP(功能_33[[#This Row],[User]],SKL放款!A:G,7,FALSE)</f>
        <v>放款服務課</v>
      </c>
      <c r="AA114" s="283">
        <v>44533</v>
      </c>
      <c r="AB114" s="283" t="s">
        <v>2408</v>
      </c>
      <c r="AC114" s="283">
        <v>44524</v>
      </c>
      <c r="AD114" s="283">
        <v>44524</v>
      </c>
      <c r="AE114" s="283">
        <v>44539</v>
      </c>
      <c r="AF114" s="283"/>
      <c r="AG114" s="283"/>
      <c r="AH114" s="334"/>
      <c r="AI114" s="283">
        <f>IFERROR(IF(VLOOKUP(功能_33[[#This Row],[功能代號]],E:S,11,FALSE)=0,"",VLOOKUP(功能_33[[#This Row],[功能代號]],E:S,11,FALSE)),"")</f>
        <v>44533</v>
      </c>
      <c r="AJ114" s="283"/>
      <c r="AK114" s="283"/>
      <c r="AL114" s="276"/>
      <c r="AM114" s="217">
        <f>功能_33[[#This Row],[實際展示]]</f>
        <v>44455</v>
      </c>
      <c r="AN114" s="275" t="s">
        <v>2609</v>
      </c>
      <c r="AO114" s="276" t="s">
        <v>2607</v>
      </c>
      <c r="AQ114" s="507" t="str">
        <f t="shared" si="6"/>
        <v>4-6</v>
      </c>
      <c r="AR114" s="509" t="str">
        <f t="shared" si="7"/>
        <v/>
      </c>
      <c r="AS114" s="511" t="str">
        <f t="shared" si="8"/>
        <v/>
      </c>
      <c r="AT114" s="513" t="str">
        <f t="shared" si="9"/>
        <v/>
      </c>
      <c r="AU114" s="515" t="str">
        <f t="shared" si="10"/>
        <v/>
      </c>
      <c r="AV114" s="517" t="str">
        <f t="shared" si="11"/>
        <v/>
      </c>
      <c r="AW114" s="589" t="str">
        <f>IFERROR(VLOOKUP(功能_33[[#This Row],[功能代號]],SIT_FT!D:D,1,FALSE),"")</f>
        <v>L4610</v>
      </c>
    </row>
    <row r="115" spans="1:49" ht="13.5" hidden="1" x14ac:dyDescent="0.3">
      <c r="C115" s="276" t="s">
        <v>80</v>
      </c>
      <c r="D115" s="276" t="s">
        <v>425</v>
      </c>
      <c r="E115" s="275" t="s">
        <v>430</v>
      </c>
      <c r="F115" s="276" t="s">
        <v>431</v>
      </c>
      <c r="G115" s="276"/>
      <c r="H115" s="275" t="s">
        <v>179</v>
      </c>
      <c r="I115" s="275" t="s">
        <v>2449</v>
      </c>
      <c r="J115" s="218" t="s">
        <v>2606</v>
      </c>
      <c r="K115" s="283">
        <v>44573</v>
      </c>
      <c r="L115" s="275"/>
      <c r="M115" s="283">
        <v>44455</v>
      </c>
      <c r="N115" s="283">
        <v>44455</v>
      </c>
      <c r="O115" s="283">
        <v>44523</v>
      </c>
      <c r="P115" s="275" t="s">
        <v>10</v>
      </c>
      <c r="Q115" s="275" t="s">
        <v>24</v>
      </c>
      <c r="V115" s="275"/>
      <c r="X115" s="275"/>
      <c r="Y115" s="275"/>
      <c r="Z115" s="276" t="str">
        <f>VLOOKUP(功能_33[[#This Row],[User]],SKL放款!A:G,7,FALSE)</f>
        <v>放款服務課</v>
      </c>
      <c r="AA115" s="283">
        <v>44533</v>
      </c>
      <c r="AB115" s="283" t="s">
        <v>119</v>
      </c>
      <c r="AC115" s="283">
        <v>44524</v>
      </c>
      <c r="AD115" s="283">
        <v>44524</v>
      </c>
      <c r="AE115" s="283">
        <v>44539</v>
      </c>
      <c r="AF115" s="283"/>
      <c r="AG115" s="283"/>
      <c r="AH115" s="334"/>
      <c r="AI115" s="283">
        <f>IFERROR(IF(VLOOKUP(功能_33[[#This Row],[功能代號]],E:S,11,FALSE)=0,"",VLOOKUP(功能_33[[#This Row],[功能代號]],E:S,11,FALSE)),"")</f>
        <v>44523</v>
      </c>
      <c r="AJ115" s="283"/>
      <c r="AK115" s="283"/>
      <c r="AL115" s="276"/>
      <c r="AM115" s="283"/>
      <c r="AN115" s="275" t="s">
        <v>2611</v>
      </c>
      <c r="AO115" s="276" t="s">
        <v>2610</v>
      </c>
      <c r="AQ115" s="507" t="str">
        <f t="shared" si="6"/>
        <v>4-6</v>
      </c>
      <c r="AR115" s="509" t="str">
        <f t="shared" si="7"/>
        <v/>
      </c>
      <c r="AS115" s="511" t="str">
        <f t="shared" si="8"/>
        <v/>
      </c>
      <c r="AT115" s="513" t="str">
        <f t="shared" si="9"/>
        <v/>
      </c>
      <c r="AU115" s="515" t="str">
        <f t="shared" si="10"/>
        <v/>
      </c>
      <c r="AV115" s="517" t="str">
        <f t="shared" si="11"/>
        <v/>
      </c>
      <c r="AW115" s="589" t="str">
        <f>IFERROR(VLOOKUP(功能_33[[#This Row],[功能代號]],SIT_FT!D:D,1,FALSE),"")</f>
        <v>L4600</v>
      </c>
    </row>
    <row r="116" spans="1:49" ht="40.5" hidden="1" x14ac:dyDescent="0.3">
      <c r="C116" s="276" t="s">
        <v>80</v>
      </c>
      <c r="D116" s="276" t="s">
        <v>425</v>
      </c>
      <c r="E116" s="275" t="s">
        <v>432</v>
      </c>
      <c r="F116" s="276" t="s">
        <v>433</v>
      </c>
      <c r="G116" s="276"/>
      <c r="H116" s="275" t="s">
        <v>179</v>
      </c>
      <c r="I116" s="275" t="s">
        <v>2449</v>
      </c>
      <c r="J116" s="218" t="s">
        <v>2606</v>
      </c>
      <c r="K116" s="283">
        <v>44573</v>
      </c>
      <c r="L116" s="275"/>
      <c r="M116" s="283">
        <v>44455</v>
      </c>
      <c r="N116" s="283">
        <v>44455</v>
      </c>
      <c r="O116" s="283">
        <v>44523</v>
      </c>
      <c r="P116" s="275" t="s">
        <v>10</v>
      </c>
      <c r="Q116" s="275" t="s">
        <v>24</v>
      </c>
      <c r="V116" s="275"/>
      <c r="X116" s="275"/>
      <c r="Y116" s="275"/>
      <c r="Z116" s="276" t="str">
        <f>VLOOKUP(功能_33[[#This Row],[User]],SKL放款!A:G,7,FALSE)</f>
        <v>放款服務課</v>
      </c>
      <c r="AA116" s="283">
        <v>44533</v>
      </c>
      <c r="AB116" s="283" t="s">
        <v>119</v>
      </c>
      <c r="AC116" s="283">
        <v>44524</v>
      </c>
      <c r="AD116" s="283">
        <v>44524</v>
      </c>
      <c r="AE116" s="283">
        <v>44539</v>
      </c>
      <c r="AF116" s="283"/>
      <c r="AG116" s="283"/>
      <c r="AH116" s="334"/>
      <c r="AI116" s="283">
        <f>IFERROR(IF(VLOOKUP(功能_33[[#This Row],[功能代號]],E:S,11,FALSE)=0,"",VLOOKUP(功能_33[[#This Row],[功能代號]],E:S,11,FALSE)),"")</f>
        <v>44523</v>
      </c>
      <c r="AJ116" s="283"/>
      <c r="AK116" s="283"/>
      <c r="AL116" s="276"/>
      <c r="AM116" s="283"/>
      <c r="AN116" s="292" t="s">
        <v>2613</v>
      </c>
      <c r="AO116" s="212" t="s">
        <v>2612</v>
      </c>
      <c r="AQ116" s="507" t="str">
        <f t="shared" si="6"/>
        <v>4-6</v>
      </c>
      <c r="AR116" s="509" t="str">
        <f t="shared" si="7"/>
        <v/>
      </c>
      <c r="AS116" s="511" t="str">
        <f t="shared" si="8"/>
        <v/>
      </c>
      <c r="AT116" s="513" t="str">
        <f t="shared" si="9"/>
        <v/>
      </c>
      <c r="AU116" s="515" t="str">
        <f t="shared" si="10"/>
        <v/>
      </c>
      <c r="AV116" s="517" t="str">
        <f t="shared" si="11"/>
        <v/>
      </c>
      <c r="AW116" s="589" t="str">
        <f>IFERROR(VLOOKUP(功能_33[[#This Row],[功能代號]],SIT_FT!D:D,1,FALSE),"")</f>
        <v>L4601</v>
      </c>
    </row>
    <row r="117" spans="1:49" ht="13.5" hidden="1" x14ac:dyDescent="0.3">
      <c r="C117" s="276" t="s">
        <v>80</v>
      </c>
      <c r="D117" s="276" t="s">
        <v>425</v>
      </c>
      <c r="E117" s="275" t="s">
        <v>434</v>
      </c>
      <c r="F117" s="276" t="s">
        <v>435</v>
      </c>
      <c r="G117" s="276"/>
      <c r="H117" s="275" t="s">
        <v>179</v>
      </c>
      <c r="I117" s="275" t="s">
        <v>2449</v>
      </c>
      <c r="J117" s="218" t="s">
        <v>2606</v>
      </c>
      <c r="K117" s="283">
        <v>44573</v>
      </c>
      <c r="L117" s="283">
        <v>44571</v>
      </c>
      <c r="M117" s="283">
        <v>44455</v>
      </c>
      <c r="N117" s="283">
        <v>44455</v>
      </c>
      <c r="O117" s="283">
        <v>44533</v>
      </c>
      <c r="P117" s="275" t="s">
        <v>10</v>
      </c>
      <c r="Q117" s="275" t="s">
        <v>24</v>
      </c>
      <c r="V117" s="275"/>
      <c r="X117" s="275"/>
      <c r="Y117" s="275"/>
      <c r="Z117" s="276" t="str">
        <f>VLOOKUP(功能_33[[#This Row],[User]],SKL放款!A:G,7,FALSE)</f>
        <v>放款服務課</v>
      </c>
      <c r="AA117" s="283">
        <v>44533</v>
      </c>
      <c r="AB117" s="283" t="s">
        <v>119</v>
      </c>
      <c r="AC117" s="283">
        <v>44524</v>
      </c>
      <c r="AD117" s="283">
        <v>44524</v>
      </c>
      <c r="AE117" s="283">
        <v>44539</v>
      </c>
      <c r="AF117" s="283"/>
      <c r="AG117" s="283"/>
      <c r="AH117" s="334"/>
      <c r="AI117" s="283">
        <f>IFERROR(IF(VLOOKUP(功能_33[[#This Row],[功能代號]],E:S,11,FALSE)=0,"",VLOOKUP(功能_33[[#This Row],[功能代號]],E:S,11,FALSE)),"")</f>
        <v>44533</v>
      </c>
      <c r="AJ117" s="283"/>
      <c r="AK117" s="283"/>
      <c r="AL117" s="276"/>
      <c r="AM117" s="217">
        <f>功能_33[[#This Row],[實際展示]]</f>
        <v>44455</v>
      </c>
      <c r="AN117" s="275" t="s">
        <v>2608</v>
      </c>
      <c r="AO117" s="276" t="s">
        <v>2607</v>
      </c>
      <c r="AQ117" s="507" t="str">
        <f t="shared" si="6"/>
        <v>4-6</v>
      </c>
      <c r="AR117" s="509" t="str">
        <f t="shared" si="7"/>
        <v/>
      </c>
      <c r="AS117" s="511" t="str">
        <f t="shared" si="8"/>
        <v/>
      </c>
      <c r="AT117" s="513" t="str">
        <f t="shared" si="9"/>
        <v/>
      </c>
      <c r="AU117" s="515" t="str">
        <f t="shared" si="10"/>
        <v/>
      </c>
      <c r="AV117" s="517" t="str">
        <f t="shared" si="11"/>
        <v/>
      </c>
      <c r="AW117" s="589" t="str">
        <f>IFERROR(VLOOKUP(功能_33[[#This Row],[功能代號]],SIT_FT!D:D,1,FALSE),"")</f>
        <v>L4611</v>
      </c>
    </row>
    <row r="118" spans="1:49" ht="13.5" hidden="1" x14ac:dyDescent="0.3">
      <c r="C118" s="276" t="s">
        <v>80</v>
      </c>
      <c r="D118" s="276" t="s">
        <v>425</v>
      </c>
      <c r="E118" s="275" t="s">
        <v>436</v>
      </c>
      <c r="F118" s="276" t="s">
        <v>437</v>
      </c>
      <c r="G118" s="276"/>
      <c r="H118" s="275" t="s">
        <v>179</v>
      </c>
      <c r="I118" s="275" t="s">
        <v>2449</v>
      </c>
      <c r="J118" s="218" t="s">
        <v>2606</v>
      </c>
      <c r="K118" s="283">
        <v>44573</v>
      </c>
      <c r="L118" s="283">
        <v>44572</v>
      </c>
      <c r="M118" s="283">
        <v>44455</v>
      </c>
      <c r="N118" s="283">
        <v>44455</v>
      </c>
      <c r="O118" s="283">
        <v>44523</v>
      </c>
      <c r="P118" s="275" t="s">
        <v>10</v>
      </c>
      <c r="Q118" s="275" t="s">
        <v>24</v>
      </c>
      <c r="V118" s="275"/>
      <c r="X118" s="275"/>
      <c r="Y118" s="275"/>
      <c r="Z118" s="276" t="str">
        <f>VLOOKUP(功能_33[[#This Row],[User]],SKL放款!A:G,7,FALSE)</f>
        <v>放款服務課</v>
      </c>
      <c r="AA118" s="283">
        <v>44533</v>
      </c>
      <c r="AB118" s="283" t="s">
        <v>181</v>
      </c>
      <c r="AC118" s="283">
        <v>44524</v>
      </c>
      <c r="AD118" s="283">
        <v>44524</v>
      </c>
      <c r="AE118" s="283">
        <v>44539</v>
      </c>
      <c r="AF118" s="283"/>
      <c r="AG118" s="283"/>
      <c r="AH118" s="334"/>
      <c r="AI118" s="283">
        <f>IFERROR(IF(VLOOKUP(功能_33[[#This Row],[功能代號]],E:S,11,FALSE)=0,"",VLOOKUP(功能_33[[#This Row],[功能代號]],E:S,11,FALSE)),"")</f>
        <v>44523</v>
      </c>
      <c r="AJ118" s="283"/>
      <c r="AK118" s="283"/>
      <c r="AL118" s="276"/>
      <c r="AM118" s="283"/>
      <c r="AN118" s="275" t="s">
        <v>2615</v>
      </c>
      <c r="AO118" s="276" t="s">
        <v>2614</v>
      </c>
      <c r="AQ118" s="507" t="str">
        <f t="shared" si="6"/>
        <v>4-6</v>
      </c>
      <c r="AR118" s="509" t="str">
        <f t="shared" si="7"/>
        <v/>
      </c>
      <c r="AS118" s="511" t="str">
        <f t="shared" si="8"/>
        <v/>
      </c>
      <c r="AT118" s="513" t="str">
        <f t="shared" si="9"/>
        <v/>
      </c>
      <c r="AU118" s="515" t="str">
        <f t="shared" si="10"/>
        <v/>
      </c>
      <c r="AV118" s="517" t="str">
        <f t="shared" si="11"/>
        <v/>
      </c>
      <c r="AW118" s="589" t="str">
        <f>IFERROR(VLOOKUP(功能_33[[#This Row],[功能代號]],SIT_FT!D:D,1,FALSE),"")</f>
        <v>L4602</v>
      </c>
    </row>
    <row r="119" spans="1:49" ht="13.5" hidden="1" x14ac:dyDescent="0.3">
      <c r="A119" s="537">
        <v>44552</v>
      </c>
      <c r="C119" s="276" t="s">
        <v>80</v>
      </c>
      <c r="D119" s="276" t="s">
        <v>425</v>
      </c>
      <c r="E119" s="275" t="s">
        <v>438</v>
      </c>
      <c r="F119" s="276" t="s">
        <v>439</v>
      </c>
      <c r="G119" s="276"/>
      <c r="H119" s="275" t="s">
        <v>179</v>
      </c>
      <c r="I119" s="275" t="s">
        <v>2449</v>
      </c>
      <c r="J119" s="218" t="s">
        <v>3000</v>
      </c>
      <c r="K119" s="283">
        <v>44573</v>
      </c>
      <c r="L119" s="283">
        <v>44572</v>
      </c>
      <c r="M119" s="283">
        <v>44455</v>
      </c>
      <c r="N119" s="283">
        <v>44455</v>
      </c>
      <c r="O119" s="221">
        <v>44550</v>
      </c>
      <c r="P119" s="275" t="s">
        <v>10</v>
      </c>
      <c r="Q119" s="275" t="s">
        <v>24</v>
      </c>
      <c r="V119" s="275"/>
      <c r="X119" s="275"/>
      <c r="Y119" s="275"/>
      <c r="Z119" s="276" t="str">
        <f>VLOOKUP(功能_33[[#This Row],[User]],SKL放款!A:G,7,FALSE)</f>
        <v>放款服務課</v>
      </c>
      <c r="AA119" s="221">
        <v>44550</v>
      </c>
      <c r="AB119" s="283" t="s">
        <v>119</v>
      </c>
      <c r="AC119" s="283">
        <v>44524</v>
      </c>
      <c r="AD119" s="283">
        <v>44524</v>
      </c>
      <c r="AE119" s="283" t="s">
        <v>3003</v>
      </c>
      <c r="AF119" s="283"/>
      <c r="AG119" s="283"/>
      <c r="AH119" s="334"/>
      <c r="AI119" s="283">
        <f>IFERROR(IF(VLOOKUP(功能_33[[#This Row],[功能代號]],E:S,11,FALSE)=0,"",VLOOKUP(功能_33[[#This Row],[功能代號]],E:S,11,FALSE)),"")</f>
        <v>44550</v>
      </c>
      <c r="AJ119" s="283"/>
      <c r="AK119" s="283"/>
      <c r="AL119" s="276"/>
      <c r="AM119" s="283"/>
      <c r="AN119" s="275" t="s">
        <v>2617</v>
      </c>
      <c r="AO119" s="276" t="s">
        <v>2616</v>
      </c>
      <c r="AQ119" s="507" t="str">
        <f t="shared" si="6"/>
        <v>4-6</v>
      </c>
      <c r="AR119" s="509" t="str">
        <f t="shared" si="7"/>
        <v/>
      </c>
      <c r="AS119" s="511" t="str">
        <f t="shared" si="8"/>
        <v/>
      </c>
      <c r="AT119" s="513" t="str">
        <f t="shared" si="9"/>
        <v/>
      </c>
      <c r="AU119" s="515" t="str">
        <f t="shared" si="10"/>
        <v/>
      </c>
      <c r="AV119" s="517" t="str">
        <f t="shared" si="11"/>
        <v/>
      </c>
      <c r="AW119" s="589" t="str">
        <f>IFERROR(VLOOKUP(功能_33[[#This Row],[功能代號]],SIT_FT!D:D,1,FALSE),"")</f>
        <v>L4603</v>
      </c>
    </row>
    <row r="120" spans="1:49" ht="27" hidden="1" x14ac:dyDescent="0.3">
      <c r="C120" s="276" t="s">
        <v>80</v>
      </c>
      <c r="D120" s="276" t="s">
        <v>425</v>
      </c>
      <c r="E120" s="275" t="s">
        <v>440</v>
      </c>
      <c r="F120" s="276" t="s">
        <v>441</v>
      </c>
      <c r="G120" s="276"/>
      <c r="H120" s="275" t="s">
        <v>179</v>
      </c>
      <c r="I120" s="275" t="s">
        <v>2449</v>
      </c>
      <c r="J120" s="218" t="s">
        <v>2606</v>
      </c>
      <c r="K120" s="283">
        <v>44573</v>
      </c>
      <c r="L120" s="283">
        <v>44572</v>
      </c>
      <c r="M120" s="283">
        <v>44455</v>
      </c>
      <c r="N120" s="283">
        <v>44455</v>
      </c>
      <c r="O120" s="283">
        <v>44533</v>
      </c>
      <c r="P120" s="275" t="s">
        <v>10</v>
      </c>
      <c r="Q120" s="275" t="s">
        <v>24</v>
      </c>
      <c r="V120" s="275"/>
      <c r="X120" s="275"/>
      <c r="Y120" s="275"/>
      <c r="Z120" s="276" t="str">
        <f>VLOOKUP(功能_33[[#This Row],[User]],SKL放款!A:G,7,FALSE)</f>
        <v>放款服務課</v>
      </c>
      <c r="AA120" s="283">
        <v>44533</v>
      </c>
      <c r="AB120" s="283" t="s">
        <v>119</v>
      </c>
      <c r="AC120" s="283">
        <v>44524</v>
      </c>
      <c r="AD120" s="283">
        <v>44524</v>
      </c>
      <c r="AE120" s="283">
        <v>44539</v>
      </c>
      <c r="AF120" s="283"/>
      <c r="AG120" s="283"/>
      <c r="AH120" s="334"/>
      <c r="AI120" s="283">
        <f>IFERROR(IF(VLOOKUP(功能_33[[#This Row],[功能代號]],E:S,11,FALSE)=0,"",VLOOKUP(功能_33[[#This Row],[功能代號]],E:S,11,FALSE)),"")</f>
        <v>44533</v>
      </c>
      <c r="AJ120" s="283"/>
      <c r="AK120" s="283"/>
      <c r="AL120" s="276"/>
      <c r="AM120" s="217" t="s">
        <v>442</v>
      </c>
      <c r="AN120" s="292" t="s">
        <v>2619</v>
      </c>
      <c r="AO120" s="212" t="s">
        <v>2618</v>
      </c>
      <c r="AQ120" s="507" t="str">
        <f t="shared" si="6"/>
        <v>4-6</v>
      </c>
      <c r="AR120" s="509" t="str">
        <f t="shared" si="7"/>
        <v/>
      </c>
      <c r="AS120" s="511" t="str">
        <f t="shared" si="8"/>
        <v/>
      </c>
      <c r="AT120" s="513" t="str">
        <f t="shared" si="9"/>
        <v/>
      </c>
      <c r="AU120" s="515" t="str">
        <f t="shared" si="10"/>
        <v/>
      </c>
      <c r="AV120" s="517" t="str">
        <f t="shared" si="11"/>
        <v/>
      </c>
      <c r="AW120" s="589" t="str">
        <f>IFERROR(VLOOKUP(功能_33[[#This Row],[功能代號]],SIT_FT!D:D,1,FALSE),"")</f>
        <v>L4962</v>
      </c>
    </row>
    <row r="121" spans="1:49" ht="13.5" hidden="1" x14ac:dyDescent="0.3">
      <c r="C121" s="276" t="s">
        <v>80</v>
      </c>
      <c r="D121" s="276" t="s">
        <v>425</v>
      </c>
      <c r="E121" s="275" t="s">
        <v>443</v>
      </c>
      <c r="F121" s="276" t="s">
        <v>444</v>
      </c>
      <c r="G121" s="276"/>
      <c r="H121" s="275" t="s">
        <v>179</v>
      </c>
      <c r="I121" s="275" t="s">
        <v>2449</v>
      </c>
      <c r="J121" s="218" t="s">
        <v>2606</v>
      </c>
      <c r="K121" s="283">
        <v>44573</v>
      </c>
      <c r="L121" s="283">
        <v>44572</v>
      </c>
      <c r="M121" s="283">
        <v>44455</v>
      </c>
      <c r="N121" s="283">
        <v>44455</v>
      </c>
      <c r="O121" s="283">
        <v>44523</v>
      </c>
      <c r="P121" s="275" t="s">
        <v>10</v>
      </c>
      <c r="Q121" s="275" t="s">
        <v>24</v>
      </c>
      <c r="V121" s="275"/>
      <c r="X121" s="275"/>
      <c r="Y121" s="275"/>
      <c r="Z121" s="276" t="str">
        <f>VLOOKUP(功能_33[[#This Row],[User]],SKL放款!A:G,7,FALSE)</f>
        <v>放款服務課</v>
      </c>
      <c r="AA121" s="283">
        <v>44533</v>
      </c>
      <c r="AB121" s="283" t="s">
        <v>181</v>
      </c>
      <c r="AC121" s="283">
        <v>44524</v>
      </c>
      <c r="AD121" s="283">
        <v>44524</v>
      </c>
      <c r="AE121" s="283">
        <v>44539</v>
      </c>
      <c r="AF121" s="283"/>
      <c r="AG121" s="283"/>
      <c r="AH121" s="334"/>
      <c r="AI121" s="283">
        <f>IFERROR(IF(VLOOKUP(功能_33[[#This Row],[功能代號]],E:S,11,FALSE)=0,"",VLOOKUP(功能_33[[#This Row],[功能代號]],E:S,11,FALSE)),"")</f>
        <v>44523</v>
      </c>
      <c r="AJ121" s="283"/>
      <c r="AK121" s="283"/>
      <c r="AL121" s="276"/>
      <c r="AM121" s="283"/>
      <c r="AN121" s="275" t="s">
        <v>2623</v>
      </c>
      <c r="AO121" s="275" t="s">
        <v>2623</v>
      </c>
      <c r="AQ121" s="507" t="str">
        <f t="shared" si="6"/>
        <v>4-6</v>
      </c>
      <c r="AR121" s="509" t="str">
        <f t="shared" si="7"/>
        <v/>
      </c>
      <c r="AS121" s="511" t="str">
        <f t="shared" si="8"/>
        <v/>
      </c>
      <c r="AT121" s="513" t="str">
        <f t="shared" si="9"/>
        <v/>
      </c>
      <c r="AU121" s="515" t="str">
        <f t="shared" si="10"/>
        <v/>
      </c>
      <c r="AV121" s="517" t="str">
        <f t="shared" si="11"/>
        <v/>
      </c>
      <c r="AW121" s="589" t="str">
        <f>IFERROR(VLOOKUP(功能_33[[#This Row],[功能代號]],SIT_FT!D:D,1,FALSE),"")</f>
        <v>L4960</v>
      </c>
    </row>
    <row r="122" spans="1:49" ht="13.5" hidden="1" x14ac:dyDescent="0.3">
      <c r="C122" s="276" t="s">
        <v>80</v>
      </c>
      <c r="D122" s="276" t="s">
        <v>425</v>
      </c>
      <c r="E122" s="275" t="s">
        <v>445</v>
      </c>
      <c r="F122" s="276" t="s">
        <v>446</v>
      </c>
      <c r="G122" s="276"/>
      <c r="H122" s="275" t="s">
        <v>179</v>
      </c>
      <c r="I122" s="275" t="s">
        <v>2449</v>
      </c>
      <c r="J122" s="218" t="s">
        <v>2606</v>
      </c>
      <c r="K122" s="283">
        <v>44574</v>
      </c>
      <c r="L122" s="283">
        <v>44572</v>
      </c>
      <c r="M122" s="283">
        <v>44455</v>
      </c>
      <c r="N122" s="283">
        <v>44455</v>
      </c>
      <c r="O122" s="283">
        <v>44523</v>
      </c>
      <c r="P122" s="275" t="s">
        <v>10</v>
      </c>
      <c r="Q122" s="275" t="s">
        <v>24</v>
      </c>
      <c r="V122" s="275"/>
      <c r="X122" s="275"/>
      <c r="Y122" s="275"/>
      <c r="Z122" s="276" t="str">
        <f>VLOOKUP(功能_33[[#This Row],[User]],SKL放款!A:G,7,FALSE)</f>
        <v>放款服務課</v>
      </c>
      <c r="AA122" s="283">
        <v>44533</v>
      </c>
      <c r="AB122" s="283" t="s">
        <v>181</v>
      </c>
      <c r="AC122" s="283">
        <v>44524</v>
      </c>
      <c r="AD122" s="283">
        <v>44524</v>
      </c>
      <c r="AE122" s="283">
        <v>44539</v>
      </c>
      <c r="AF122" s="283"/>
      <c r="AG122" s="283"/>
      <c r="AH122" s="334"/>
      <c r="AI122" s="283">
        <f>IFERROR(IF(VLOOKUP(功能_33[[#This Row],[功能代號]],E:S,11,FALSE)=0,"",VLOOKUP(功能_33[[#This Row],[功能代號]],E:S,11,FALSE)),"")</f>
        <v>44523</v>
      </c>
      <c r="AJ122" s="283"/>
      <c r="AK122" s="283"/>
      <c r="AL122" s="276"/>
      <c r="AM122" s="217" t="s">
        <v>442</v>
      </c>
      <c r="AN122" s="275" t="s">
        <v>2623</v>
      </c>
      <c r="AO122" s="275" t="s">
        <v>2623</v>
      </c>
      <c r="AQ122" s="507" t="str">
        <f t="shared" si="6"/>
        <v>4-6</v>
      </c>
      <c r="AR122" s="509" t="str">
        <f t="shared" si="7"/>
        <v/>
      </c>
      <c r="AS122" s="511" t="str">
        <f t="shared" si="8"/>
        <v/>
      </c>
      <c r="AT122" s="513" t="str">
        <f t="shared" si="9"/>
        <v/>
      </c>
      <c r="AU122" s="515" t="str">
        <f t="shared" si="10"/>
        <v/>
      </c>
      <c r="AV122" s="517" t="str">
        <f t="shared" si="11"/>
        <v/>
      </c>
      <c r="AW122" s="589" t="str">
        <f>IFERROR(VLOOKUP(功能_33[[#This Row],[功能代號]],SIT_FT!D:D,1,FALSE),"")</f>
        <v>L4961</v>
      </c>
    </row>
    <row r="123" spans="1:49" ht="13.5" hidden="1" x14ac:dyDescent="0.3">
      <c r="C123" s="276" t="s">
        <v>80</v>
      </c>
      <c r="D123" s="276" t="s">
        <v>425</v>
      </c>
      <c r="E123" s="275" t="s">
        <v>447</v>
      </c>
      <c r="F123" s="276" t="s">
        <v>448</v>
      </c>
      <c r="G123" s="276"/>
      <c r="H123" s="275" t="s">
        <v>179</v>
      </c>
      <c r="I123" s="275" t="s">
        <v>2449</v>
      </c>
      <c r="J123" s="218" t="s">
        <v>2606</v>
      </c>
      <c r="K123" s="283">
        <v>44574</v>
      </c>
      <c r="L123" s="283">
        <v>44572</v>
      </c>
      <c r="M123" s="283">
        <v>44455</v>
      </c>
      <c r="N123" s="283">
        <v>44455</v>
      </c>
      <c r="O123" s="283">
        <v>44523</v>
      </c>
      <c r="P123" s="275" t="s">
        <v>10</v>
      </c>
      <c r="Q123" s="275" t="s">
        <v>24</v>
      </c>
      <c r="V123" s="275"/>
      <c r="X123" s="275"/>
      <c r="Y123" s="275"/>
      <c r="Z123" s="276" t="str">
        <f>VLOOKUP(功能_33[[#This Row],[User]],SKL放款!A:G,7,FALSE)</f>
        <v>放款服務課</v>
      </c>
      <c r="AA123" s="283">
        <v>44533</v>
      </c>
      <c r="AB123" s="283" t="s">
        <v>181</v>
      </c>
      <c r="AC123" s="283">
        <v>44524</v>
      </c>
      <c r="AD123" s="283">
        <v>44524</v>
      </c>
      <c r="AE123" s="283">
        <v>44539</v>
      </c>
      <c r="AF123" s="283"/>
      <c r="AG123" s="283"/>
      <c r="AH123" s="334"/>
      <c r="AI123" s="283">
        <f>IFERROR(IF(VLOOKUP(功能_33[[#This Row],[功能代號]],E:S,11,FALSE)=0,"",VLOOKUP(功能_33[[#This Row],[功能代號]],E:S,11,FALSE)),"")</f>
        <v>44523</v>
      </c>
      <c r="AJ123" s="283"/>
      <c r="AK123" s="283"/>
      <c r="AL123" s="276"/>
      <c r="AM123" s="283"/>
      <c r="AN123" s="275" t="s">
        <v>2667</v>
      </c>
      <c r="AO123" s="276" t="s">
        <v>2620</v>
      </c>
      <c r="AQ123" s="507" t="str">
        <f t="shared" si="6"/>
        <v>4-6</v>
      </c>
      <c r="AR123" s="509" t="str">
        <f t="shared" si="7"/>
        <v/>
      </c>
      <c r="AS123" s="511" t="str">
        <f t="shared" si="8"/>
        <v/>
      </c>
      <c r="AT123" s="513" t="str">
        <f t="shared" si="9"/>
        <v/>
      </c>
      <c r="AU123" s="515" t="str">
        <f t="shared" si="10"/>
        <v/>
      </c>
      <c r="AV123" s="517" t="str">
        <f t="shared" si="11"/>
        <v/>
      </c>
      <c r="AW123" s="589" t="str">
        <f>IFERROR(VLOOKUP(功能_33[[#This Row],[功能代號]],SIT_FT!D:D,1,FALSE),"")</f>
        <v>L4964</v>
      </c>
    </row>
    <row r="124" spans="1:49" ht="13.5" hidden="1" x14ac:dyDescent="0.3">
      <c r="C124" s="276" t="s">
        <v>80</v>
      </c>
      <c r="D124" s="276" t="s">
        <v>425</v>
      </c>
      <c r="E124" s="275" t="s">
        <v>449</v>
      </c>
      <c r="F124" s="276" t="s">
        <v>450</v>
      </c>
      <c r="G124" s="276"/>
      <c r="H124" s="275" t="s">
        <v>179</v>
      </c>
      <c r="I124" s="275" t="s">
        <v>2449</v>
      </c>
      <c r="J124" s="218" t="s">
        <v>2606</v>
      </c>
      <c r="K124" s="283">
        <v>44574</v>
      </c>
      <c r="L124" s="283">
        <v>44572</v>
      </c>
      <c r="M124" s="283">
        <v>44455</v>
      </c>
      <c r="N124" s="283">
        <v>44455</v>
      </c>
      <c r="O124" s="283">
        <v>44523</v>
      </c>
      <c r="P124" s="275" t="s">
        <v>10</v>
      </c>
      <c r="Q124" s="275" t="s">
        <v>24</v>
      </c>
      <c r="V124" s="275"/>
      <c r="X124" s="275"/>
      <c r="Y124" s="275"/>
      <c r="Z124" s="276" t="str">
        <f>VLOOKUP(功能_33[[#This Row],[User]],SKL放款!A:G,7,FALSE)</f>
        <v>放款服務課</v>
      </c>
      <c r="AA124" s="283">
        <v>44533</v>
      </c>
      <c r="AB124" s="283" t="s">
        <v>119</v>
      </c>
      <c r="AC124" s="283">
        <v>44524</v>
      </c>
      <c r="AD124" s="283">
        <v>44524</v>
      </c>
      <c r="AE124" s="283">
        <v>44539</v>
      </c>
      <c r="AF124" s="283"/>
      <c r="AG124" s="283"/>
      <c r="AH124" s="334"/>
      <c r="AI124" s="283">
        <f>IFERROR(IF(VLOOKUP(功能_33[[#This Row],[功能代號]],E:S,11,FALSE)=0,"",VLOOKUP(功能_33[[#This Row],[功能代號]],E:S,11,FALSE)),"")</f>
        <v>44523</v>
      </c>
      <c r="AJ124" s="283"/>
      <c r="AK124" s="283"/>
      <c r="AL124" s="276"/>
      <c r="AM124" s="217" t="s">
        <v>442</v>
      </c>
      <c r="AN124" s="275" t="s">
        <v>2668</v>
      </c>
      <c r="AO124" s="276" t="s">
        <v>2666</v>
      </c>
      <c r="AQ124" s="507" t="str">
        <f t="shared" si="6"/>
        <v>4-6</v>
      </c>
      <c r="AR124" s="509" t="str">
        <f t="shared" si="7"/>
        <v/>
      </c>
      <c r="AS124" s="511" t="str">
        <f t="shared" si="8"/>
        <v/>
      </c>
      <c r="AT124" s="513" t="str">
        <f t="shared" si="9"/>
        <v/>
      </c>
      <c r="AU124" s="515" t="str">
        <f t="shared" si="10"/>
        <v/>
      </c>
      <c r="AV124" s="517" t="str">
        <f t="shared" si="11"/>
        <v/>
      </c>
      <c r="AW124" s="589" t="str">
        <f>IFERROR(VLOOKUP(功能_33[[#This Row],[功能代號]],SIT_FT!D:D,1,FALSE),"")</f>
        <v>L4965</v>
      </c>
    </row>
    <row r="125" spans="1:49" ht="67.5" hidden="1" x14ac:dyDescent="0.3">
      <c r="C125" s="276" t="s">
        <v>80</v>
      </c>
      <c r="D125" s="276" t="s">
        <v>451</v>
      </c>
      <c r="E125" s="275" t="s">
        <v>452</v>
      </c>
      <c r="F125" s="276" t="s">
        <v>453</v>
      </c>
      <c r="G125" s="276"/>
      <c r="H125" s="275" t="s">
        <v>179</v>
      </c>
      <c r="I125" s="275" t="s">
        <v>2449</v>
      </c>
      <c r="J125" s="218" t="s">
        <v>2606</v>
      </c>
      <c r="K125" s="283">
        <v>44574</v>
      </c>
      <c r="L125" s="275"/>
      <c r="M125" s="283">
        <v>44456</v>
      </c>
      <c r="N125" s="283">
        <v>44456</v>
      </c>
      <c r="O125" s="283">
        <v>44523</v>
      </c>
      <c r="P125" s="275" t="s">
        <v>8</v>
      </c>
      <c r="Q125" s="275" t="s">
        <v>22</v>
      </c>
      <c r="R125" s="258" t="s">
        <v>454</v>
      </c>
      <c r="V125" s="275"/>
      <c r="X125" s="275"/>
      <c r="Y125" s="275"/>
      <c r="Z125" s="276" t="str">
        <f>VLOOKUP(功能_33[[#This Row],[User]],SKL放款!A:G,7,FALSE)</f>
        <v>放款服務課</v>
      </c>
      <c r="AA125" s="283">
        <v>44533</v>
      </c>
      <c r="AB125" s="283" t="s">
        <v>119</v>
      </c>
      <c r="AC125" s="283">
        <v>44523</v>
      </c>
      <c r="AD125" s="283">
        <v>44525</v>
      </c>
      <c r="AE125" s="283">
        <v>44539</v>
      </c>
      <c r="AF125" s="283"/>
      <c r="AG125" s="283"/>
      <c r="AH125" s="334"/>
      <c r="AI125" s="283">
        <f>IFERROR(IF(VLOOKUP(功能_33[[#This Row],[功能代號]],E:S,11,FALSE)=0,"",VLOOKUP(功能_33[[#This Row],[功能代號]],E:S,11,FALSE)),"")</f>
        <v>44523</v>
      </c>
      <c r="AJ125" s="283"/>
      <c r="AK125" s="283"/>
      <c r="AL125" s="276"/>
      <c r="AM125" s="283"/>
      <c r="AN125" s="292" t="s">
        <v>2624</v>
      </c>
      <c r="AO125" s="212" t="s">
        <v>2627</v>
      </c>
      <c r="AQ125" s="507" t="str">
        <f t="shared" si="6"/>
        <v>4-4</v>
      </c>
      <c r="AR125" s="509" t="str">
        <f t="shared" si="7"/>
        <v/>
      </c>
      <c r="AS125" s="511" t="str">
        <f t="shared" si="8"/>
        <v/>
      </c>
      <c r="AT125" s="513" t="str">
        <f t="shared" si="9"/>
        <v/>
      </c>
      <c r="AU125" s="515" t="str">
        <f t="shared" si="10"/>
        <v/>
      </c>
      <c r="AV125" s="517" t="str">
        <f t="shared" si="11"/>
        <v/>
      </c>
      <c r="AW125" s="589" t="str">
        <f>IFERROR(VLOOKUP(功能_33[[#This Row],[功能代號]],SIT_FT!D:D,1,FALSE),"")</f>
        <v>L4450</v>
      </c>
    </row>
    <row r="126" spans="1:49" ht="27" hidden="1" x14ac:dyDescent="0.3">
      <c r="C126" s="276" t="s">
        <v>80</v>
      </c>
      <c r="D126" s="276" t="s">
        <v>451</v>
      </c>
      <c r="E126" s="275" t="s">
        <v>455</v>
      </c>
      <c r="F126" s="276" t="s">
        <v>456</v>
      </c>
      <c r="G126" s="276"/>
      <c r="H126" s="275" t="s">
        <v>179</v>
      </c>
      <c r="I126" s="275" t="s">
        <v>2449</v>
      </c>
      <c r="J126" s="218" t="s">
        <v>2606</v>
      </c>
      <c r="K126" s="283">
        <v>44574</v>
      </c>
      <c r="L126" s="283">
        <v>44572</v>
      </c>
      <c r="M126" s="283">
        <v>44456</v>
      </c>
      <c r="N126" s="283">
        <v>44456</v>
      </c>
      <c r="O126" s="283">
        <v>44523</v>
      </c>
      <c r="P126" s="275" t="s">
        <v>8</v>
      </c>
      <c r="Q126" s="275" t="s">
        <v>22</v>
      </c>
      <c r="R126" s="258" t="s">
        <v>454</v>
      </c>
      <c r="V126" s="275"/>
      <c r="X126" s="275"/>
      <c r="Y126" s="275"/>
      <c r="Z126" s="276" t="str">
        <f>VLOOKUP(功能_33[[#This Row],[User]],SKL放款!A:G,7,FALSE)</f>
        <v>放款服務課</v>
      </c>
      <c r="AA126" s="283">
        <v>44533</v>
      </c>
      <c r="AB126" s="283" t="s">
        <v>119</v>
      </c>
      <c r="AC126" s="283">
        <v>44523</v>
      </c>
      <c r="AD126" s="283">
        <v>44525</v>
      </c>
      <c r="AE126" s="283">
        <v>44539</v>
      </c>
      <c r="AF126" s="283"/>
      <c r="AG126" s="283"/>
      <c r="AH126" s="334"/>
      <c r="AI126" s="283">
        <f>IFERROR(IF(VLOOKUP(功能_33[[#This Row],[功能代號]],E:S,11,FALSE)=0,"",VLOOKUP(功能_33[[#This Row],[功能代號]],E:S,11,FALSE)),"")</f>
        <v>44523</v>
      </c>
      <c r="AJ126" s="283"/>
      <c r="AK126" s="283"/>
      <c r="AL126" s="276"/>
      <c r="AM126" s="217" t="s">
        <v>457</v>
      </c>
      <c r="AN126" s="292" t="s">
        <v>2632</v>
      </c>
      <c r="AO126" s="212" t="s">
        <v>2633</v>
      </c>
      <c r="AQ126" s="507" t="str">
        <f t="shared" si="6"/>
        <v>4-4</v>
      </c>
      <c r="AR126" s="509" t="str">
        <f t="shared" si="7"/>
        <v/>
      </c>
      <c r="AS126" s="511" t="str">
        <f t="shared" si="8"/>
        <v/>
      </c>
      <c r="AT126" s="513" t="str">
        <f t="shared" si="9"/>
        <v/>
      </c>
      <c r="AU126" s="515" t="str">
        <f t="shared" si="10"/>
        <v/>
      </c>
      <c r="AV126" s="517" t="str">
        <f t="shared" si="11"/>
        <v/>
      </c>
      <c r="AW126" s="589" t="str">
        <f>IFERROR(VLOOKUP(功能_33[[#This Row],[功能代號]],SIT_FT!D:D,1,FALSE),"")</f>
        <v>L4943</v>
      </c>
    </row>
    <row r="127" spans="1:49" ht="27" hidden="1" x14ac:dyDescent="0.3">
      <c r="C127" s="276" t="s">
        <v>80</v>
      </c>
      <c r="D127" s="276" t="s">
        <v>451</v>
      </c>
      <c r="E127" s="275" t="s">
        <v>458</v>
      </c>
      <c r="F127" s="276" t="s">
        <v>459</v>
      </c>
      <c r="G127" s="276"/>
      <c r="H127" s="275" t="s">
        <v>179</v>
      </c>
      <c r="I127" s="275" t="s">
        <v>2449</v>
      </c>
      <c r="J127" s="218" t="s">
        <v>2606</v>
      </c>
      <c r="K127" s="283">
        <v>44574</v>
      </c>
      <c r="L127" s="283">
        <v>44572</v>
      </c>
      <c r="M127" s="283">
        <v>44456</v>
      </c>
      <c r="N127" s="283">
        <v>44456</v>
      </c>
      <c r="O127" s="283">
        <v>44523</v>
      </c>
      <c r="P127" s="275" t="s">
        <v>8</v>
      </c>
      <c r="Q127" s="275" t="s">
        <v>22</v>
      </c>
      <c r="R127" s="258" t="s">
        <v>454</v>
      </c>
      <c r="V127" s="275"/>
      <c r="X127" s="275"/>
      <c r="Y127" s="275"/>
      <c r="Z127" s="276" t="str">
        <f>VLOOKUP(功能_33[[#This Row],[User]],SKL放款!A:G,7,FALSE)</f>
        <v>放款服務課</v>
      </c>
      <c r="AA127" s="283">
        <v>44533</v>
      </c>
      <c r="AB127" s="283" t="s">
        <v>119</v>
      </c>
      <c r="AC127" s="283">
        <v>44523</v>
      </c>
      <c r="AD127" s="283">
        <v>44525</v>
      </c>
      <c r="AE127" s="283">
        <v>44539</v>
      </c>
      <c r="AF127" s="283"/>
      <c r="AG127" s="283"/>
      <c r="AH127" s="334"/>
      <c r="AI127" s="283">
        <f>IFERROR(IF(VLOOKUP(功能_33[[#This Row],[功能代號]],E:S,11,FALSE)=0,"",VLOOKUP(功能_33[[#This Row],[功能代號]],E:S,11,FALSE)),"")</f>
        <v>44523</v>
      </c>
      <c r="AJ127" s="283"/>
      <c r="AK127" s="283"/>
      <c r="AL127" s="276"/>
      <c r="AM127" s="283"/>
      <c r="AN127" s="292" t="s">
        <v>2625</v>
      </c>
      <c r="AO127" s="212" t="s">
        <v>2626</v>
      </c>
      <c r="AQ127" s="507" t="str">
        <f t="shared" si="6"/>
        <v>4-4</v>
      </c>
      <c r="AR127" s="509" t="str">
        <f t="shared" si="7"/>
        <v/>
      </c>
      <c r="AS127" s="511" t="str">
        <f t="shared" si="8"/>
        <v/>
      </c>
      <c r="AT127" s="513" t="str">
        <f t="shared" si="9"/>
        <v/>
      </c>
      <c r="AU127" s="515" t="str">
        <f t="shared" si="10"/>
        <v/>
      </c>
      <c r="AV127" s="517" t="str">
        <f t="shared" si="11"/>
        <v/>
      </c>
      <c r="AW127" s="589" t="str">
        <f>IFERROR(VLOOKUP(功能_33[[#This Row],[功能代號]],SIT_FT!D:D,1,FALSE),"")</f>
        <v>L4451</v>
      </c>
    </row>
    <row r="128" spans="1:49" ht="40.5" hidden="1" x14ac:dyDescent="0.3">
      <c r="C128" s="276" t="s">
        <v>80</v>
      </c>
      <c r="D128" s="276" t="s">
        <v>451</v>
      </c>
      <c r="E128" s="275" t="s">
        <v>460</v>
      </c>
      <c r="F128" s="276" t="s">
        <v>461</v>
      </c>
      <c r="G128" s="276"/>
      <c r="H128" s="275" t="s">
        <v>179</v>
      </c>
      <c r="I128" s="275" t="s">
        <v>2449</v>
      </c>
      <c r="J128" s="218" t="s">
        <v>2606</v>
      </c>
      <c r="K128" s="283">
        <v>44574</v>
      </c>
      <c r="L128" s="275"/>
      <c r="M128" s="283">
        <v>44456</v>
      </c>
      <c r="N128" s="283">
        <v>44456</v>
      </c>
      <c r="O128" s="283">
        <v>44523</v>
      </c>
      <c r="P128" s="275" t="s">
        <v>8</v>
      </c>
      <c r="Q128" s="275" t="s">
        <v>22</v>
      </c>
      <c r="R128" s="258" t="s">
        <v>454</v>
      </c>
      <c r="V128" s="275"/>
      <c r="X128" s="275"/>
      <c r="Y128" s="275"/>
      <c r="Z128" s="276" t="str">
        <f>VLOOKUP(功能_33[[#This Row],[User]],SKL放款!A:G,7,FALSE)</f>
        <v>放款服務課</v>
      </c>
      <c r="AA128" s="283">
        <v>44533</v>
      </c>
      <c r="AB128" s="283" t="s">
        <v>119</v>
      </c>
      <c r="AC128" s="283">
        <v>44523</v>
      </c>
      <c r="AD128" s="283">
        <v>44525</v>
      </c>
      <c r="AE128" s="283">
        <v>44539</v>
      </c>
      <c r="AF128" s="283"/>
      <c r="AG128" s="283"/>
      <c r="AH128" s="334"/>
      <c r="AI128" s="283">
        <f>IFERROR(IF(VLOOKUP(功能_33[[#This Row],[功能代號]],E:S,11,FALSE)=0,"",VLOOKUP(功能_33[[#This Row],[功能代號]],E:S,11,FALSE)),"")</f>
        <v>44523</v>
      </c>
      <c r="AJ128" s="283"/>
      <c r="AK128" s="283"/>
      <c r="AL128" s="276"/>
      <c r="AM128" s="283"/>
      <c r="AN128" s="292" t="s">
        <v>2628</v>
      </c>
      <c r="AO128" s="212" t="s">
        <v>2629</v>
      </c>
      <c r="AQ128" s="507" t="str">
        <f t="shared" si="6"/>
        <v>4-4</v>
      </c>
      <c r="AR128" s="509" t="str">
        <f t="shared" si="7"/>
        <v/>
      </c>
      <c r="AS128" s="511" t="str">
        <f t="shared" si="8"/>
        <v/>
      </c>
      <c r="AT128" s="513" t="str">
        <f t="shared" si="9"/>
        <v/>
      </c>
      <c r="AU128" s="515" t="str">
        <f t="shared" si="10"/>
        <v/>
      </c>
      <c r="AV128" s="517" t="str">
        <f t="shared" si="11"/>
        <v/>
      </c>
      <c r="AW128" s="589" t="str">
        <f>IFERROR(VLOOKUP(功能_33[[#This Row],[功能代號]],SIT_FT!D:D,1,FALSE),"")</f>
        <v>L4452</v>
      </c>
    </row>
    <row r="129" spans="3:49" ht="27" hidden="1" x14ac:dyDescent="0.3">
      <c r="C129" s="276" t="s">
        <v>80</v>
      </c>
      <c r="D129" s="276" t="s">
        <v>451</v>
      </c>
      <c r="E129" s="275" t="s">
        <v>462</v>
      </c>
      <c r="F129" s="276" t="s">
        <v>463</v>
      </c>
      <c r="G129" s="276"/>
      <c r="H129" s="275" t="s">
        <v>179</v>
      </c>
      <c r="I129" s="275" t="s">
        <v>2449</v>
      </c>
      <c r="J129" s="218" t="s">
        <v>2606</v>
      </c>
      <c r="K129" s="283">
        <v>44575</v>
      </c>
      <c r="L129" s="275"/>
      <c r="M129" s="283">
        <v>44456</v>
      </c>
      <c r="N129" s="283">
        <v>44456</v>
      </c>
      <c r="O129" s="283">
        <v>44523</v>
      </c>
      <c r="P129" s="275" t="s">
        <v>8</v>
      </c>
      <c r="Q129" s="275" t="s">
        <v>22</v>
      </c>
      <c r="R129" s="258" t="s">
        <v>454</v>
      </c>
      <c r="V129" s="275"/>
      <c r="X129" s="275"/>
      <c r="Y129" s="275"/>
      <c r="Z129" s="276" t="str">
        <f>VLOOKUP(功能_33[[#This Row],[User]],SKL放款!A:G,7,FALSE)</f>
        <v>放款服務課</v>
      </c>
      <c r="AA129" s="283">
        <v>44533</v>
      </c>
      <c r="AB129" s="283" t="s">
        <v>119</v>
      </c>
      <c r="AC129" s="283">
        <v>44523</v>
      </c>
      <c r="AD129" s="283">
        <v>44525</v>
      </c>
      <c r="AE129" s="283">
        <v>44539</v>
      </c>
      <c r="AF129" s="283"/>
      <c r="AG129" s="283"/>
      <c r="AH129" s="334"/>
      <c r="AI129" s="283">
        <f>IFERROR(IF(VLOOKUP(功能_33[[#This Row],[功能代號]],E:S,11,FALSE)=0,"",VLOOKUP(功能_33[[#This Row],[功能代號]],E:S,11,FALSE)),"")</f>
        <v>44523</v>
      </c>
      <c r="AJ129" s="283"/>
      <c r="AK129" s="283"/>
      <c r="AL129" s="276"/>
      <c r="AM129" s="283"/>
      <c r="AN129" s="292" t="s">
        <v>2630</v>
      </c>
      <c r="AO129" s="212" t="s">
        <v>2631</v>
      </c>
      <c r="AQ129" s="507" t="str">
        <f t="shared" ref="AQ129:AQ192" si="18">IF(COUNTA(AE129)=1,LEFT(D129,3),"")</f>
        <v>4-4</v>
      </c>
      <c r="AR129" s="509" t="str">
        <f t="shared" ref="AR129:AR192" si="19">IF(AND(COUNTA(N129)=1,COUNTA(O129)=1,COUNTA(AA129)=1,COUNTA(AD129)=1,COUNTA(AE129)=0),LEFT(D129,3),"")</f>
        <v/>
      </c>
      <c r="AS129" s="511" t="str">
        <f t="shared" ref="AS129:AS192" si="20">IF(AND(COUNTA(N129)=1,COUNTA(O129)=1,COUNTA(AA129)=1,COUNTA(AD129)=0,COUNTA(AE129)=0),LEFT(D129,3),"")</f>
        <v/>
      </c>
      <c r="AT129" s="513" t="str">
        <f t="shared" ref="AT129:AT192" si="21">IF(AND(COUNTA(O129)=0,COUNTA(AA129)=1),LEFT(D129,3),"")</f>
        <v/>
      </c>
      <c r="AU129" s="515" t="str">
        <f t="shared" ref="AU129:AU192" si="22">IF(AND(COUNTA(O129)=1,COUNTA(AA129)=0),LEFT(D129,3),"")</f>
        <v/>
      </c>
      <c r="AV129" s="517" t="str">
        <f t="shared" ref="AV129:AV192" si="23">IF(AND(COUNTA(O129)=0,COUNTA(AA129)=0),LEFT(D129,3),"")</f>
        <v/>
      </c>
      <c r="AW129" s="589" t="str">
        <f>IFERROR(VLOOKUP(功能_33[[#This Row],[功能代號]],SIT_FT!D:D,1,FALSE),"")</f>
        <v>L4453</v>
      </c>
    </row>
    <row r="130" spans="3:49" ht="13.5" hidden="1" x14ac:dyDescent="0.3">
      <c r="C130" s="276" t="s">
        <v>81</v>
      </c>
      <c r="D130" s="276" t="s">
        <v>2489</v>
      </c>
      <c r="E130" s="275" t="s">
        <v>464</v>
      </c>
      <c r="F130" s="276" t="s">
        <v>465</v>
      </c>
      <c r="G130" s="276"/>
      <c r="H130" s="275" t="s">
        <v>466</v>
      </c>
      <c r="I130" s="275" t="s">
        <v>466</v>
      </c>
      <c r="J130" s="218" t="s">
        <v>467</v>
      </c>
      <c r="K130" s="283">
        <v>44568</v>
      </c>
      <c r="L130" s="283">
        <v>44568</v>
      </c>
      <c r="M130" s="283">
        <v>44462</v>
      </c>
      <c r="N130" s="283">
        <v>44462</v>
      </c>
      <c r="O130" s="283">
        <v>44462</v>
      </c>
      <c r="P130" s="275" t="s">
        <v>7</v>
      </c>
      <c r="Q130" s="275" t="s">
        <v>11</v>
      </c>
      <c r="R130" s="258" t="s">
        <v>25</v>
      </c>
      <c r="V130" s="275"/>
      <c r="X130" s="275"/>
      <c r="Y130" s="275"/>
      <c r="Z130" s="276" t="str">
        <f>VLOOKUP(功能_33[[#This Row],[User]],SKL放款!A:G,7,FALSE)</f>
        <v>放款服務課</v>
      </c>
      <c r="AA130" s="283">
        <v>44489</v>
      </c>
      <c r="AB130" s="283">
        <v>44477</v>
      </c>
      <c r="AC130" s="283">
        <f>IF(功能_33[[#This Row],[URS交二審]]=0,"",功能_33[[#This Row],[URS交二審]]+7)</f>
        <v>44484</v>
      </c>
      <c r="AD130" s="283">
        <f>IF(功能_33[[#This Row],[URS交二審]]=0,"",功能_33[[#This Row],[URS交二審]]+7)</f>
        <v>44484</v>
      </c>
      <c r="AE130" s="283">
        <v>44489</v>
      </c>
      <c r="AF130" s="283"/>
      <c r="AI130" s="283">
        <f>IFERROR(IF(VLOOKUP(功能_33[[#This Row],[功能代號]],E:S,11,FALSE)=0,"",VLOOKUP(功能_33[[#This Row],[功能代號]],E:S,11,FALSE)),"")</f>
        <v>44462</v>
      </c>
      <c r="AJ130" s="283"/>
      <c r="AK130" s="283"/>
      <c r="AL130" s="276"/>
      <c r="AM130" s="283"/>
      <c r="AN130" s="275" t="s">
        <v>2700</v>
      </c>
      <c r="AO130" s="276" t="s">
        <v>2702</v>
      </c>
      <c r="AQ130" s="507" t="str">
        <f t="shared" si="18"/>
        <v>5-5</v>
      </c>
      <c r="AR130" s="509" t="str">
        <f t="shared" si="19"/>
        <v/>
      </c>
      <c r="AS130" s="511" t="str">
        <f t="shared" si="20"/>
        <v/>
      </c>
      <c r="AT130" s="513" t="str">
        <f t="shared" si="21"/>
        <v/>
      </c>
      <c r="AU130" s="515" t="str">
        <f t="shared" si="22"/>
        <v/>
      </c>
      <c r="AV130" s="517" t="str">
        <f t="shared" si="23"/>
        <v/>
      </c>
      <c r="AW130" s="589" t="str">
        <f>IFERROR(VLOOKUP(功能_33[[#This Row],[功能代號]],SIT_FT!D:D,1,FALSE),"")</f>
        <v/>
      </c>
    </row>
    <row r="131" spans="3:49" ht="13.5" hidden="1" x14ac:dyDescent="0.3">
      <c r="C131" s="276" t="s">
        <v>81</v>
      </c>
      <c r="D131" s="276" t="s">
        <v>2489</v>
      </c>
      <c r="E131" s="275" t="s">
        <v>468</v>
      </c>
      <c r="F131" s="276" t="s">
        <v>469</v>
      </c>
      <c r="G131" s="276"/>
      <c r="H131" s="275" t="s">
        <v>466</v>
      </c>
      <c r="I131" s="275" t="s">
        <v>466</v>
      </c>
      <c r="J131" s="218" t="s">
        <v>467</v>
      </c>
      <c r="K131" s="283">
        <v>44568</v>
      </c>
      <c r="L131" s="283">
        <v>44568</v>
      </c>
      <c r="M131" s="283">
        <v>44462</v>
      </c>
      <c r="N131" s="283">
        <v>44462</v>
      </c>
      <c r="O131" s="283">
        <v>44462</v>
      </c>
      <c r="P131" s="275" t="s">
        <v>7</v>
      </c>
      <c r="Q131" s="275" t="s">
        <v>11</v>
      </c>
      <c r="R131" s="258" t="s">
        <v>25</v>
      </c>
      <c r="V131" s="275"/>
      <c r="X131" s="275"/>
      <c r="Y131" s="275"/>
      <c r="Z131" s="276" t="str">
        <f>VLOOKUP(功能_33[[#This Row],[User]],SKL放款!A:G,7,FALSE)</f>
        <v>放款服務課</v>
      </c>
      <c r="AA131" s="283">
        <v>44489</v>
      </c>
      <c r="AB131" s="283">
        <v>44477</v>
      </c>
      <c r="AC131" s="283">
        <f>IF(功能_33[[#This Row],[URS交二審]]=0,"",功能_33[[#This Row],[URS交二審]]+7)</f>
        <v>44484</v>
      </c>
      <c r="AD131" s="283">
        <f>IF(功能_33[[#This Row],[URS交二審]]=0,"",功能_33[[#This Row],[URS交二審]]+7)</f>
        <v>44484</v>
      </c>
      <c r="AE131" s="283">
        <v>44489</v>
      </c>
      <c r="AF131" s="283"/>
      <c r="AI131" s="283">
        <f>IFERROR(IF(VLOOKUP(功能_33[[#This Row],[功能代號]],E:S,11,FALSE)=0,"",VLOOKUP(功能_33[[#This Row],[功能代號]],E:S,11,FALSE)),"")</f>
        <v>44462</v>
      </c>
      <c r="AJ131" s="283"/>
      <c r="AK131" s="283"/>
      <c r="AL131" s="276"/>
      <c r="AM131" s="283"/>
      <c r="AN131" s="275" t="s">
        <v>2700</v>
      </c>
      <c r="AO131" s="276" t="s">
        <v>2702</v>
      </c>
      <c r="AQ131" s="507" t="str">
        <f t="shared" si="18"/>
        <v>5-5</v>
      </c>
      <c r="AR131" s="509" t="str">
        <f t="shared" si="19"/>
        <v/>
      </c>
      <c r="AS131" s="511" t="str">
        <f t="shared" si="20"/>
        <v/>
      </c>
      <c r="AT131" s="513" t="str">
        <f t="shared" si="21"/>
        <v/>
      </c>
      <c r="AU131" s="515" t="str">
        <f t="shared" si="22"/>
        <v/>
      </c>
      <c r="AV131" s="517" t="str">
        <f t="shared" si="23"/>
        <v/>
      </c>
      <c r="AW131" s="589" t="str">
        <f>IFERROR(VLOOKUP(功能_33[[#This Row],[功能代號]],SIT_FT!D:D,1,FALSE),"")</f>
        <v/>
      </c>
    </row>
    <row r="132" spans="3:49" ht="13.5" hidden="1" x14ac:dyDescent="0.3">
      <c r="C132" s="276" t="s">
        <v>81</v>
      </c>
      <c r="D132" s="276" t="s">
        <v>2489</v>
      </c>
      <c r="E132" s="275" t="s">
        <v>470</v>
      </c>
      <c r="F132" s="276" t="s">
        <v>471</v>
      </c>
      <c r="G132" s="276"/>
      <c r="H132" s="275" t="s">
        <v>466</v>
      </c>
      <c r="I132" s="275" t="s">
        <v>466</v>
      </c>
      <c r="J132" s="218" t="s">
        <v>2699</v>
      </c>
      <c r="K132" s="283">
        <v>44568</v>
      </c>
      <c r="L132" s="283">
        <v>44568</v>
      </c>
      <c r="M132" s="283">
        <v>44462</v>
      </c>
      <c r="N132" s="283">
        <v>44462</v>
      </c>
      <c r="O132" s="283">
        <f>IFERROR(IF(VLOOKUP(功能_33[[#This Row],[功能代號]],討論項目!A:H,8,FALSE)=0,"",VLOOKUP(功能_33[[#This Row],[功能代號]],討論項目!A:H,8,FALSE)),"")</f>
        <v>44470</v>
      </c>
      <c r="P132" s="275" t="s">
        <v>7</v>
      </c>
      <c r="Q132" s="275" t="s">
        <v>11</v>
      </c>
      <c r="R132" s="258" t="s">
        <v>25</v>
      </c>
      <c r="V132" s="275"/>
      <c r="X132" s="275"/>
      <c r="Y132" s="275"/>
      <c r="Z132" s="276" t="str">
        <f>VLOOKUP(功能_33[[#This Row],[User]],SKL放款!A:G,7,FALSE)</f>
        <v>放款服務課</v>
      </c>
      <c r="AA132" s="283">
        <v>44489</v>
      </c>
      <c r="AB132" s="283">
        <v>44477</v>
      </c>
      <c r="AC132" s="283">
        <f>IF(功能_33[[#This Row],[URS交二審]]=0,"",功能_33[[#This Row],[URS交二審]]+7)</f>
        <v>44484</v>
      </c>
      <c r="AD132" s="283">
        <f>IF(功能_33[[#This Row],[URS交二審]]=0,"",功能_33[[#This Row],[URS交二審]]+7)</f>
        <v>44484</v>
      </c>
      <c r="AE132" s="283">
        <v>44489</v>
      </c>
      <c r="AF132" s="283"/>
      <c r="AI132" s="283">
        <f>IFERROR(IF(VLOOKUP(功能_33[[#This Row],[功能代號]],E:S,11,FALSE)=0,"",VLOOKUP(功能_33[[#This Row],[功能代號]],E:S,11,FALSE)),"")</f>
        <v>44470</v>
      </c>
      <c r="AJ132" s="283"/>
      <c r="AK132" s="283"/>
      <c r="AL132" s="276"/>
      <c r="AM132" s="283"/>
      <c r="AN132" s="275" t="s">
        <v>2700</v>
      </c>
      <c r="AO132" s="276" t="s">
        <v>2702</v>
      </c>
      <c r="AQ132" s="507" t="str">
        <f t="shared" si="18"/>
        <v>5-5</v>
      </c>
      <c r="AR132" s="509" t="str">
        <f t="shared" si="19"/>
        <v/>
      </c>
      <c r="AS132" s="511" t="str">
        <f t="shared" si="20"/>
        <v/>
      </c>
      <c r="AT132" s="513" t="str">
        <f t="shared" si="21"/>
        <v/>
      </c>
      <c r="AU132" s="515" t="str">
        <f t="shared" si="22"/>
        <v/>
      </c>
      <c r="AV132" s="517" t="str">
        <f t="shared" si="23"/>
        <v/>
      </c>
      <c r="AW132" s="589" t="str">
        <f>IFERROR(VLOOKUP(功能_33[[#This Row],[功能代號]],SIT_FT!D:D,1,FALSE),"")</f>
        <v/>
      </c>
    </row>
    <row r="133" spans="3:49" ht="13.5" hidden="1" x14ac:dyDescent="0.3">
      <c r="C133" s="276" t="s">
        <v>81</v>
      </c>
      <c r="D133" s="276" t="s">
        <v>2489</v>
      </c>
      <c r="E133" s="275" t="s">
        <v>472</v>
      </c>
      <c r="F133" s="276" t="s">
        <v>473</v>
      </c>
      <c r="G133" s="276"/>
      <c r="H133" s="275" t="s">
        <v>466</v>
      </c>
      <c r="I133" s="275" t="s">
        <v>466</v>
      </c>
      <c r="J133" s="218" t="s">
        <v>467</v>
      </c>
      <c r="K133" s="283">
        <v>44568</v>
      </c>
      <c r="L133" s="283">
        <v>44568</v>
      </c>
      <c r="M133" s="283">
        <v>44462</v>
      </c>
      <c r="N133" s="283">
        <v>44462</v>
      </c>
      <c r="O133" s="283">
        <f>IFERROR(IF(VLOOKUP(功能_33[[#This Row],[功能代號]],討論項目!A:H,8,FALSE)=0,"",VLOOKUP(功能_33[[#This Row],[功能代號]],討論項目!A:H,8,FALSE)),"")</f>
        <v>44473</v>
      </c>
      <c r="P133" s="275" t="s">
        <v>7</v>
      </c>
      <c r="Q133" s="275" t="s">
        <v>11</v>
      </c>
      <c r="R133" s="258" t="s">
        <v>25</v>
      </c>
      <c r="V133" s="275"/>
      <c r="X133" s="275"/>
      <c r="Y133" s="275"/>
      <c r="Z133" s="276" t="str">
        <f>VLOOKUP(功能_33[[#This Row],[User]],SKL放款!A:G,7,FALSE)</f>
        <v>放款服務課</v>
      </c>
      <c r="AA133" s="283">
        <v>44489</v>
      </c>
      <c r="AB133" s="283">
        <v>44477</v>
      </c>
      <c r="AC133" s="283">
        <f>IF(功能_33[[#This Row],[URS交二審]]=0,"",功能_33[[#This Row],[URS交二審]]+7)</f>
        <v>44484</v>
      </c>
      <c r="AD133" s="283">
        <f>IF(功能_33[[#This Row],[URS交二審]]=0,"",功能_33[[#This Row],[URS交二審]]+7)</f>
        <v>44484</v>
      </c>
      <c r="AE133" s="283">
        <v>44489</v>
      </c>
      <c r="AF133" s="283"/>
      <c r="AI133" s="283">
        <f>IFERROR(IF(VLOOKUP(功能_33[[#This Row],[功能代號]],E:S,11,FALSE)=0,"",VLOOKUP(功能_33[[#This Row],[功能代號]],E:S,11,FALSE)),"")</f>
        <v>44473</v>
      </c>
      <c r="AJ133" s="283"/>
      <c r="AK133" s="283"/>
      <c r="AL133" s="276"/>
      <c r="AM133" s="283"/>
      <c r="AN133" s="275" t="s">
        <v>2700</v>
      </c>
      <c r="AO133" s="276" t="s">
        <v>2702</v>
      </c>
      <c r="AQ133" s="507" t="str">
        <f t="shared" si="18"/>
        <v>5-5</v>
      </c>
      <c r="AR133" s="509" t="str">
        <f t="shared" si="19"/>
        <v/>
      </c>
      <c r="AS133" s="511" t="str">
        <f t="shared" si="20"/>
        <v/>
      </c>
      <c r="AT133" s="513" t="str">
        <f t="shared" si="21"/>
        <v/>
      </c>
      <c r="AU133" s="515" t="str">
        <f t="shared" si="22"/>
        <v/>
      </c>
      <c r="AV133" s="517" t="str">
        <f t="shared" si="23"/>
        <v/>
      </c>
      <c r="AW133" s="589" t="str">
        <f>IFERROR(VLOOKUP(功能_33[[#This Row],[功能代號]],SIT_FT!D:D,1,FALSE),"")</f>
        <v/>
      </c>
    </row>
    <row r="134" spans="3:49" ht="13.5" hidden="1" x14ac:dyDescent="0.3">
      <c r="C134" s="276" t="s">
        <v>81</v>
      </c>
      <c r="D134" s="276" t="s">
        <v>2489</v>
      </c>
      <c r="E134" s="275" t="s">
        <v>474</v>
      </c>
      <c r="F134" s="258" t="s">
        <v>475</v>
      </c>
      <c r="G134" s="258"/>
      <c r="H134" s="275" t="s">
        <v>466</v>
      </c>
      <c r="I134" s="275" t="s">
        <v>466</v>
      </c>
      <c r="J134" s="218" t="s">
        <v>467</v>
      </c>
      <c r="K134" s="283">
        <v>44568</v>
      </c>
      <c r="L134" s="283">
        <v>44568</v>
      </c>
      <c r="M134" s="283">
        <v>44462</v>
      </c>
      <c r="N134" s="283">
        <v>44462</v>
      </c>
      <c r="O134" s="283">
        <v>44462</v>
      </c>
      <c r="P134" s="275" t="s">
        <v>7</v>
      </c>
      <c r="Q134" s="275" t="s">
        <v>11</v>
      </c>
      <c r="R134" s="258" t="s">
        <v>25</v>
      </c>
      <c r="V134" s="275"/>
      <c r="X134" s="275"/>
      <c r="Y134" s="275"/>
      <c r="Z134" s="276" t="str">
        <f>VLOOKUP(功能_33[[#This Row],[User]],SKL放款!A:G,7,FALSE)</f>
        <v>放款服務課</v>
      </c>
      <c r="AA134" s="283">
        <v>44489</v>
      </c>
      <c r="AB134" s="283">
        <v>44477</v>
      </c>
      <c r="AC134" s="283">
        <f>IF(功能_33[[#This Row],[URS交二審]]=0,"",功能_33[[#This Row],[URS交二審]]+7)</f>
        <v>44484</v>
      </c>
      <c r="AD134" s="283">
        <f>IF(功能_33[[#This Row],[URS交二審]]=0,"",功能_33[[#This Row],[URS交二審]]+7)</f>
        <v>44484</v>
      </c>
      <c r="AE134" s="283">
        <v>44489</v>
      </c>
      <c r="AF134" s="283"/>
      <c r="AI134" s="283">
        <f>IFERROR(IF(VLOOKUP(功能_33[[#This Row],[功能代號]],E:S,11,FALSE)=0,"",VLOOKUP(功能_33[[#This Row],[功能代號]],E:S,11,FALSE)),"")</f>
        <v>44462</v>
      </c>
      <c r="AJ134" s="283"/>
      <c r="AK134" s="283"/>
      <c r="AL134" s="276"/>
      <c r="AM134" s="283"/>
      <c r="AN134" s="275" t="s">
        <v>2700</v>
      </c>
      <c r="AO134" s="276" t="s">
        <v>2702</v>
      </c>
      <c r="AQ134" s="507" t="str">
        <f t="shared" si="18"/>
        <v>5-5</v>
      </c>
      <c r="AR134" s="509" t="str">
        <f t="shared" si="19"/>
        <v/>
      </c>
      <c r="AS134" s="511" t="str">
        <f t="shared" si="20"/>
        <v/>
      </c>
      <c r="AT134" s="513" t="str">
        <f t="shared" si="21"/>
        <v/>
      </c>
      <c r="AU134" s="515" t="str">
        <f t="shared" si="22"/>
        <v/>
      </c>
      <c r="AV134" s="517" t="str">
        <f t="shared" si="23"/>
        <v/>
      </c>
      <c r="AW134" s="589" t="str">
        <f>IFERROR(VLOOKUP(功能_33[[#This Row],[功能代號]],SIT_FT!D:D,1,FALSE),"")</f>
        <v/>
      </c>
    </row>
    <row r="135" spans="3:49" ht="13.5" hidden="1" x14ac:dyDescent="0.3">
      <c r="C135" s="276" t="s">
        <v>81</v>
      </c>
      <c r="D135" s="276" t="s">
        <v>2489</v>
      </c>
      <c r="E135" s="275" t="s">
        <v>476</v>
      </c>
      <c r="F135" s="276" t="s">
        <v>477</v>
      </c>
      <c r="G135" s="276"/>
      <c r="H135" s="275" t="s">
        <v>466</v>
      </c>
      <c r="I135" s="275" t="s">
        <v>466</v>
      </c>
      <c r="J135" s="218" t="s">
        <v>467</v>
      </c>
      <c r="K135" s="283">
        <v>44568</v>
      </c>
      <c r="L135" s="283">
        <v>44568</v>
      </c>
      <c r="M135" s="283">
        <v>44467</v>
      </c>
      <c r="N135" s="283">
        <v>44462</v>
      </c>
      <c r="O135" s="283">
        <f>IFERROR(IF(VLOOKUP(功能_33[[#This Row],[功能代號]],討論項目!A:H,8,FALSE)=0,"",VLOOKUP(功能_33[[#This Row],[功能代號]],討論項目!A:H,8,FALSE)),"")</f>
        <v>44468</v>
      </c>
      <c r="P135" s="275" t="s">
        <v>7</v>
      </c>
      <c r="Q135" s="275" t="s">
        <v>11</v>
      </c>
      <c r="R135" s="258" t="s">
        <v>25</v>
      </c>
      <c r="V135" s="275"/>
      <c r="X135" s="275"/>
      <c r="Y135" s="275"/>
      <c r="Z135" s="276" t="str">
        <f>VLOOKUP(功能_33[[#This Row],[User]],SKL放款!A:G,7,FALSE)</f>
        <v>放款服務課</v>
      </c>
      <c r="AA135" s="283">
        <v>44489</v>
      </c>
      <c r="AB135" s="283">
        <v>44477</v>
      </c>
      <c r="AC135" s="283">
        <f>IF(功能_33[[#This Row],[URS交二審]]=0,"",功能_33[[#This Row],[URS交二審]]+7)</f>
        <v>44484</v>
      </c>
      <c r="AD135" s="283">
        <f>IF(功能_33[[#This Row],[URS交二審]]=0,"",功能_33[[#This Row],[URS交二審]]+7)</f>
        <v>44484</v>
      </c>
      <c r="AE135" s="283">
        <v>44489</v>
      </c>
      <c r="AF135" s="283"/>
      <c r="AI135" s="283">
        <f>IFERROR(IF(VLOOKUP(功能_33[[#This Row],[功能代號]],E:S,11,FALSE)=0,"",VLOOKUP(功能_33[[#This Row],[功能代號]],E:S,11,FALSE)),"")</f>
        <v>44468</v>
      </c>
      <c r="AJ135" s="283"/>
      <c r="AK135" s="283"/>
      <c r="AL135" s="276"/>
      <c r="AM135" s="283"/>
      <c r="AN135" s="275" t="s">
        <v>2700</v>
      </c>
      <c r="AO135" s="276" t="s">
        <v>2702</v>
      </c>
      <c r="AQ135" s="507" t="str">
        <f t="shared" si="18"/>
        <v>5-5</v>
      </c>
      <c r="AR135" s="509" t="str">
        <f t="shared" si="19"/>
        <v/>
      </c>
      <c r="AS135" s="511" t="str">
        <f t="shared" si="20"/>
        <v/>
      </c>
      <c r="AT135" s="513" t="str">
        <f t="shared" si="21"/>
        <v/>
      </c>
      <c r="AU135" s="515" t="str">
        <f t="shared" si="22"/>
        <v/>
      </c>
      <c r="AV135" s="517" t="str">
        <f t="shared" si="23"/>
        <v/>
      </c>
      <c r="AW135" s="589" t="str">
        <f>IFERROR(VLOOKUP(功能_33[[#This Row],[功能代號]],SIT_FT!D:D,1,FALSE),"")</f>
        <v/>
      </c>
    </row>
    <row r="136" spans="3:49" ht="13.5" hidden="1" x14ac:dyDescent="0.3">
      <c r="C136" s="276" t="s">
        <v>81</v>
      </c>
      <c r="D136" s="276" t="s">
        <v>2489</v>
      </c>
      <c r="E136" s="275" t="s">
        <v>478</v>
      </c>
      <c r="F136" s="276" t="s">
        <v>479</v>
      </c>
      <c r="G136" s="276"/>
      <c r="H136" s="275" t="s">
        <v>466</v>
      </c>
      <c r="I136" s="275" t="s">
        <v>466</v>
      </c>
      <c r="J136" s="218" t="s">
        <v>467</v>
      </c>
      <c r="K136" s="283">
        <v>44568</v>
      </c>
      <c r="L136" s="283">
        <v>44568</v>
      </c>
      <c r="M136" s="283">
        <v>44467</v>
      </c>
      <c r="N136" s="283">
        <v>44462</v>
      </c>
      <c r="O136" s="283">
        <v>44462</v>
      </c>
      <c r="P136" s="275" t="s">
        <v>7</v>
      </c>
      <c r="Q136" s="275" t="s">
        <v>11</v>
      </c>
      <c r="R136" s="258" t="s">
        <v>25</v>
      </c>
      <c r="V136" s="275"/>
      <c r="X136" s="275"/>
      <c r="Y136" s="275"/>
      <c r="Z136" s="276" t="str">
        <f>VLOOKUP(功能_33[[#This Row],[User]],SKL放款!A:G,7,FALSE)</f>
        <v>放款服務課</v>
      </c>
      <c r="AA136" s="283">
        <v>44489</v>
      </c>
      <c r="AB136" s="283">
        <v>44477</v>
      </c>
      <c r="AC136" s="283">
        <f>IF(功能_33[[#This Row],[URS交二審]]=0,"",功能_33[[#This Row],[URS交二審]]+7)</f>
        <v>44484</v>
      </c>
      <c r="AD136" s="283">
        <f>IF(功能_33[[#This Row],[URS交二審]]=0,"",功能_33[[#This Row],[URS交二審]]+7)</f>
        <v>44484</v>
      </c>
      <c r="AE136" s="283">
        <v>44489</v>
      </c>
      <c r="AF136" s="283"/>
      <c r="AI136" s="283">
        <f>IFERROR(IF(VLOOKUP(功能_33[[#This Row],[功能代號]],E:S,11,FALSE)=0,"",VLOOKUP(功能_33[[#This Row],[功能代號]],E:S,11,FALSE)),"")</f>
        <v>44462</v>
      </c>
      <c r="AJ136" s="283"/>
      <c r="AK136" s="283"/>
      <c r="AL136" s="276"/>
      <c r="AM136" s="283"/>
      <c r="AN136" s="275" t="s">
        <v>2700</v>
      </c>
      <c r="AO136" s="276" t="s">
        <v>2702</v>
      </c>
      <c r="AQ136" s="507" t="str">
        <f t="shared" si="18"/>
        <v>5-5</v>
      </c>
      <c r="AR136" s="509" t="str">
        <f t="shared" si="19"/>
        <v/>
      </c>
      <c r="AS136" s="511" t="str">
        <f t="shared" si="20"/>
        <v/>
      </c>
      <c r="AT136" s="513" t="str">
        <f t="shared" si="21"/>
        <v/>
      </c>
      <c r="AU136" s="515" t="str">
        <f t="shared" si="22"/>
        <v/>
      </c>
      <c r="AV136" s="517" t="str">
        <f t="shared" si="23"/>
        <v/>
      </c>
      <c r="AW136" s="589" t="str">
        <f>IFERROR(VLOOKUP(功能_33[[#This Row],[功能代號]],SIT_FT!D:D,1,FALSE),"")</f>
        <v/>
      </c>
    </row>
    <row r="137" spans="3:49" ht="13.5" hidden="1" x14ac:dyDescent="0.3">
      <c r="C137" s="276" t="s">
        <v>81</v>
      </c>
      <c r="D137" s="276" t="s">
        <v>2489</v>
      </c>
      <c r="E137" s="275" t="s">
        <v>480</v>
      </c>
      <c r="F137" s="258" t="s">
        <v>481</v>
      </c>
      <c r="G137" s="258"/>
      <c r="H137" s="275" t="s">
        <v>466</v>
      </c>
      <c r="I137" s="275" t="s">
        <v>466</v>
      </c>
      <c r="J137" s="218" t="s">
        <v>467</v>
      </c>
      <c r="K137" s="283">
        <v>44568</v>
      </c>
      <c r="L137" s="283">
        <v>44568</v>
      </c>
      <c r="M137" s="283">
        <v>44467</v>
      </c>
      <c r="N137" s="283">
        <v>44462</v>
      </c>
      <c r="O137" s="283">
        <v>44462</v>
      </c>
      <c r="P137" s="275" t="s">
        <v>7</v>
      </c>
      <c r="Q137" s="275" t="s">
        <v>11</v>
      </c>
      <c r="R137" s="258" t="s">
        <v>25</v>
      </c>
      <c r="V137" s="275"/>
      <c r="X137" s="275"/>
      <c r="Y137" s="275"/>
      <c r="Z137" s="276" t="str">
        <f>VLOOKUP(功能_33[[#This Row],[User]],SKL放款!A:G,7,FALSE)</f>
        <v>放款服務課</v>
      </c>
      <c r="AA137" s="283">
        <v>44489</v>
      </c>
      <c r="AB137" s="283">
        <v>44477</v>
      </c>
      <c r="AC137" s="283">
        <f>IF(功能_33[[#This Row],[URS交二審]]=0,"",功能_33[[#This Row],[URS交二審]]+7)</f>
        <v>44484</v>
      </c>
      <c r="AD137" s="283">
        <f>IF(功能_33[[#This Row],[URS交二審]]=0,"",功能_33[[#This Row],[URS交二審]]+7)</f>
        <v>44484</v>
      </c>
      <c r="AE137" s="283">
        <v>44489</v>
      </c>
      <c r="AF137" s="283"/>
      <c r="AI137" s="283">
        <f>IFERROR(IF(VLOOKUP(功能_33[[#This Row],[功能代號]],E:S,11,FALSE)=0,"",VLOOKUP(功能_33[[#This Row],[功能代號]],E:S,11,FALSE)),"")</f>
        <v>44462</v>
      </c>
      <c r="AJ137" s="283"/>
      <c r="AK137" s="283"/>
      <c r="AL137" s="276"/>
      <c r="AM137" s="283"/>
      <c r="AN137" s="275" t="s">
        <v>2700</v>
      </c>
      <c r="AO137" s="276" t="s">
        <v>2702</v>
      </c>
      <c r="AQ137" s="507" t="str">
        <f t="shared" si="18"/>
        <v>5-5</v>
      </c>
      <c r="AR137" s="509" t="str">
        <f t="shared" si="19"/>
        <v/>
      </c>
      <c r="AS137" s="511" t="str">
        <f t="shared" si="20"/>
        <v/>
      </c>
      <c r="AT137" s="513" t="str">
        <f t="shared" si="21"/>
        <v/>
      </c>
      <c r="AU137" s="515" t="str">
        <f t="shared" si="22"/>
        <v/>
      </c>
      <c r="AV137" s="517" t="str">
        <f t="shared" si="23"/>
        <v/>
      </c>
      <c r="AW137" s="589" t="str">
        <f>IFERROR(VLOOKUP(功能_33[[#This Row],[功能代號]],SIT_FT!D:D,1,FALSE),"")</f>
        <v/>
      </c>
    </row>
    <row r="138" spans="3:49" ht="13.5" hidden="1" x14ac:dyDescent="0.3">
      <c r="C138" s="276" t="s">
        <v>81</v>
      </c>
      <c r="D138" s="276" t="s">
        <v>2489</v>
      </c>
      <c r="E138" s="275" t="s">
        <v>482</v>
      </c>
      <c r="F138" s="276" t="s">
        <v>483</v>
      </c>
      <c r="G138" s="276"/>
      <c r="H138" s="275" t="s">
        <v>466</v>
      </c>
      <c r="I138" s="275" t="s">
        <v>466</v>
      </c>
      <c r="J138" s="218" t="s">
        <v>467</v>
      </c>
      <c r="K138" s="283">
        <v>44568</v>
      </c>
      <c r="L138" s="283">
        <v>44568</v>
      </c>
      <c r="M138" s="283">
        <v>44467</v>
      </c>
      <c r="N138" s="283">
        <v>44462</v>
      </c>
      <c r="O138" s="283">
        <f>IFERROR(IF(VLOOKUP(功能_33[[#This Row],[功能代號]],討論項目!A:H,8,FALSE)=0,"",VLOOKUP(功能_33[[#This Row],[功能代號]],討論項目!A:H,8,FALSE)),"")</f>
        <v>44468</v>
      </c>
      <c r="P138" s="275" t="s">
        <v>7</v>
      </c>
      <c r="Q138" s="275" t="s">
        <v>11</v>
      </c>
      <c r="R138" s="258" t="s">
        <v>25</v>
      </c>
      <c r="V138" s="275"/>
      <c r="X138" s="275"/>
      <c r="Y138" s="275"/>
      <c r="Z138" s="276" t="str">
        <f>VLOOKUP(功能_33[[#This Row],[User]],SKL放款!A:G,7,FALSE)</f>
        <v>放款服務課</v>
      </c>
      <c r="AA138" s="283">
        <v>44489</v>
      </c>
      <c r="AB138" s="283">
        <v>44477</v>
      </c>
      <c r="AC138" s="283">
        <f>IF(功能_33[[#This Row],[URS交二審]]=0,"",功能_33[[#This Row],[URS交二審]]+7)</f>
        <v>44484</v>
      </c>
      <c r="AD138" s="283">
        <f>IF(功能_33[[#This Row],[URS交二審]]=0,"",功能_33[[#This Row],[URS交二審]]+7)</f>
        <v>44484</v>
      </c>
      <c r="AE138" s="283">
        <v>44489</v>
      </c>
      <c r="AF138" s="283"/>
      <c r="AI138" s="283">
        <f>IFERROR(IF(VLOOKUP(功能_33[[#This Row],[功能代號]],E:S,11,FALSE)=0,"",VLOOKUP(功能_33[[#This Row],[功能代號]],E:S,11,FALSE)),"")</f>
        <v>44468</v>
      </c>
      <c r="AJ138" s="283"/>
      <c r="AK138" s="283"/>
      <c r="AL138" s="276"/>
      <c r="AM138" s="283"/>
      <c r="AN138" s="275" t="s">
        <v>2700</v>
      </c>
      <c r="AO138" s="276" t="s">
        <v>2702</v>
      </c>
      <c r="AQ138" s="507" t="str">
        <f t="shared" si="18"/>
        <v>5-5</v>
      </c>
      <c r="AR138" s="509" t="str">
        <f t="shared" si="19"/>
        <v/>
      </c>
      <c r="AS138" s="511" t="str">
        <f t="shared" si="20"/>
        <v/>
      </c>
      <c r="AT138" s="513" t="str">
        <f t="shared" si="21"/>
        <v/>
      </c>
      <c r="AU138" s="515" t="str">
        <f t="shared" si="22"/>
        <v/>
      </c>
      <c r="AV138" s="517" t="str">
        <f t="shared" si="23"/>
        <v/>
      </c>
      <c r="AW138" s="589" t="str">
        <f>IFERROR(VLOOKUP(功能_33[[#This Row],[功能代號]],SIT_FT!D:D,1,FALSE),"")</f>
        <v/>
      </c>
    </row>
    <row r="139" spans="3:49" ht="13.5" hidden="1" x14ac:dyDescent="0.3">
      <c r="C139" s="276" t="s">
        <v>81</v>
      </c>
      <c r="D139" s="276" t="s">
        <v>2489</v>
      </c>
      <c r="E139" s="275" t="s">
        <v>484</v>
      </c>
      <c r="F139" s="276" t="s">
        <v>485</v>
      </c>
      <c r="G139" s="276"/>
      <c r="H139" s="275" t="s">
        <v>466</v>
      </c>
      <c r="I139" s="275" t="s">
        <v>466</v>
      </c>
      <c r="J139" s="218" t="s">
        <v>467</v>
      </c>
      <c r="K139" s="283">
        <v>44568</v>
      </c>
      <c r="L139" s="283">
        <v>44568</v>
      </c>
      <c r="M139" s="283">
        <v>44463</v>
      </c>
      <c r="N139" s="283">
        <v>44463</v>
      </c>
      <c r="O139" s="283">
        <v>44463</v>
      </c>
      <c r="P139" s="275" t="s">
        <v>7</v>
      </c>
      <c r="Q139" s="275" t="s">
        <v>11</v>
      </c>
      <c r="R139" s="258" t="s">
        <v>25</v>
      </c>
      <c r="V139" s="275"/>
      <c r="X139" s="275"/>
      <c r="Y139" s="275"/>
      <c r="Z139" s="276" t="str">
        <f>VLOOKUP(功能_33[[#This Row],[User]],SKL放款!A:G,7,FALSE)</f>
        <v>放款服務課</v>
      </c>
      <c r="AA139" s="283">
        <v>44489</v>
      </c>
      <c r="AB139" s="283">
        <v>44477</v>
      </c>
      <c r="AC139" s="283">
        <f>IF(功能_33[[#This Row],[URS交二審]]=0,"",功能_33[[#This Row],[URS交二審]]+7)</f>
        <v>44484</v>
      </c>
      <c r="AD139" s="283">
        <f>IF(功能_33[[#This Row],[URS交二審]]=0,"",功能_33[[#This Row],[URS交二審]]+7)</f>
        <v>44484</v>
      </c>
      <c r="AE139" s="283">
        <v>44489</v>
      </c>
      <c r="AF139" s="283"/>
      <c r="AI139" s="283">
        <f>IFERROR(IF(VLOOKUP(功能_33[[#This Row],[功能代號]],E:S,11,FALSE)=0,"",VLOOKUP(功能_33[[#This Row],[功能代號]],E:S,11,FALSE)),"")</f>
        <v>44463</v>
      </c>
      <c r="AJ139" s="283"/>
      <c r="AK139" s="283"/>
      <c r="AL139" s="276"/>
      <c r="AM139" s="283"/>
      <c r="AN139" s="275" t="s">
        <v>2700</v>
      </c>
      <c r="AO139" s="276" t="s">
        <v>2702</v>
      </c>
      <c r="AQ139" s="507" t="str">
        <f t="shared" si="18"/>
        <v>5-5</v>
      </c>
      <c r="AR139" s="509" t="str">
        <f t="shared" si="19"/>
        <v/>
      </c>
      <c r="AS139" s="511" t="str">
        <f t="shared" si="20"/>
        <v/>
      </c>
      <c r="AT139" s="513" t="str">
        <f t="shared" si="21"/>
        <v/>
      </c>
      <c r="AU139" s="515" t="str">
        <f t="shared" si="22"/>
        <v/>
      </c>
      <c r="AV139" s="517" t="str">
        <f t="shared" si="23"/>
        <v/>
      </c>
      <c r="AW139" s="589" t="str">
        <f>IFERROR(VLOOKUP(功能_33[[#This Row],[功能代號]],SIT_FT!D:D,1,FALSE),"")</f>
        <v/>
      </c>
    </row>
    <row r="140" spans="3:49" ht="13.5" hidden="1" x14ac:dyDescent="0.3">
      <c r="C140" s="276" t="s">
        <v>81</v>
      </c>
      <c r="D140" s="276" t="s">
        <v>2489</v>
      </c>
      <c r="E140" s="275" t="s">
        <v>486</v>
      </c>
      <c r="F140" s="276" t="s">
        <v>487</v>
      </c>
      <c r="G140" s="276"/>
      <c r="H140" s="275" t="s">
        <v>466</v>
      </c>
      <c r="I140" s="275" t="s">
        <v>466</v>
      </c>
      <c r="J140" s="218" t="s">
        <v>467</v>
      </c>
      <c r="K140" s="283">
        <v>44568</v>
      </c>
      <c r="L140" s="283">
        <v>44568</v>
      </c>
      <c r="M140" s="283">
        <v>44463</v>
      </c>
      <c r="N140" s="283">
        <v>44463</v>
      </c>
      <c r="O140" s="283">
        <f>IFERROR(IF(VLOOKUP(功能_33[[#This Row],[功能代號]],討論項目!A:H,8,FALSE)=0,"",VLOOKUP(功能_33[[#This Row],[功能代號]],討論項目!A:H,8,FALSE)),"")</f>
        <v>44474</v>
      </c>
      <c r="P140" s="275" t="s">
        <v>7</v>
      </c>
      <c r="Q140" s="275" t="s">
        <v>11</v>
      </c>
      <c r="R140" s="258" t="s">
        <v>25</v>
      </c>
      <c r="V140" s="275"/>
      <c r="X140" s="275"/>
      <c r="Y140" s="275"/>
      <c r="Z140" s="276" t="str">
        <f>VLOOKUP(功能_33[[#This Row],[User]],SKL放款!A:G,7,FALSE)</f>
        <v>放款服務課</v>
      </c>
      <c r="AA140" s="283">
        <v>44489</v>
      </c>
      <c r="AB140" s="283">
        <v>44477</v>
      </c>
      <c r="AC140" s="283">
        <f>IF(功能_33[[#This Row],[URS交二審]]=0,"",功能_33[[#This Row],[URS交二審]]+7)</f>
        <v>44484</v>
      </c>
      <c r="AD140" s="283">
        <f>IF(功能_33[[#This Row],[URS交二審]]=0,"",功能_33[[#This Row],[URS交二審]]+7)</f>
        <v>44484</v>
      </c>
      <c r="AE140" s="283">
        <v>44489</v>
      </c>
      <c r="AF140" s="283"/>
      <c r="AI140" s="283">
        <f>IFERROR(IF(VLOOKUP(功能_33[[#This Row],[功能代號]],E:S,11,FALSE)=0,"",VLOOKUP(功能_33[[#This Row],[功能代號]],E:S,11,FALSE)),"")</f>
        <v>44474</v>
      </c>
      <c r="AJ140" s="283"/>
      <c r="AK140" s="283"/>
      <c r="AL140" s="276"/>
      <c r="AM140" s="283"/>
      <c r="AN140" s="275" t="s">
        <v>2700</v>
      </c>
      <c r="AO140" s="276" t="s">
        <v>2702</v>
      </c>
      <c r="AQ140" s="507" t="str">
        <f t="shared" si="18"/>
        <v>5-5</v>
      </c>
      <c r="AR140" s="509" t="str">
        <f t="shared" si="19"/>
        <v/>
      </c>
      <c r="AS140" s="511" t="str">
        <f t="shared" si="20"/>
        <v/>
      </c>
      <c r="AT140" s="513" t="str">
        <f t="shared" si="21"/>
        <v/>
      </c>
      <c r="AU140" s="515" t="str">
        <f t="shared" si="22"/>
        <v/>
      </c>
      <c r="AV140" s="517" t="str">
        <f t="shared" si="23"/>
        <v/>
      </c>
      <c r="AW140" s="589" t="str">
        <f>IFERROR(VLOOKUP(功能_33[[#This Row],[功能代號]],SIT_FT!D:D,1,FALSE),"")</f>
        <v/>
      </c>
    </row>
    <row r="141" spans="3:49" ht="13.5" hidden="1" x14ac:dyDescent="0.3">
      <c r="C141" s="276" t="s">
        <v>81</v>
      </c>
      <c r="D141" s="276" t="s">
        <v>2489</v>
      </c>
      <c r="E141" s="275" t="s">
        <v>488</v>
      </c>
      <c r="F141" s="276" t="s">
        <v>489</v>
      </c>
      <c r="G141" s="276"/>
      <c r="H141" s="275" t="s">
        <v>466</v>
      </c>
      <c r="I141" s="275" t="s">
        <v>466</v>
      </c>
      <c r="J141" s="218" t="s">
        <v>467</v>
      </c>
      <c r="K141" s="283">
        <v>44568</v>
      </c>
      <c r="L141" s="283">
        <v>44568</v>
      </c>
      <c r="M141" s="283">
        <v>44463</v>
      </c>
      <c r="N141" s="283">
        <v>44463</v>
      </c>
      <c r="O141" s="283">
        <v>44462</v>
      </c>
      <c r="P141" s="275" t="s">
        <v>7</v>
      </c>
      <c r="Q141" s="275" t="s">
        <v>11</v>
      </c>
      <c r="R141" s="258" t="s">
        <v>25</v>
      </c>
      <c r="V141" s="275"/>
      <c r="X141" s="275"/>
      <c r="Y141" s="275"/>
      <c r="Z141" s="276" t="str">
        <f>VLOOKUP(功能_33[[#This Row],[User]],SKL放款!A:G,7,FALSE)</f>
        <v>放款服務課</v>
      </c>
      <c r="AA141" s="283">
        <v>44489</v>
      </c>
      <c r="AB141" s="283">
        <v>44477</v>
      </c>
      <c r="AC141" s="283">
        <f>IF(功能_33[[#This Row],[URS交二審]]=0,"",功能_33[[#This Row],[URS交二審]]+7)</f>
        <v>44484</v>
      </c>
      <c r="AD141" s="283">
        <f>IF(功能_33[[#This Row],[URS交二審]]=0,"",功能_33[[#This Row],[URS交二審]]+7)</f>
        <v>44484</v>
      </c>
      <c r="AE141" s="283">
        <v>44489</v>
      </c>
      <c r="AF141" s="283"/>
      <c r="AI141" s="283">
        <f>IFERROR(IF(VLOOKUP(功能_33[[#This Row],[功能代號]],E:S,11,FALSE)=0,"",VLOOKUP(功能_33[[#This Row],[功能代號]],E:S,11,FALSE)),"")</f>
        <v>44462</v>
      </c>
      <c r="AJ141" s="283"/>
      <c r="AK141" s="283"/>
      <c r="AL141" s="276"/>
      <c r="AM141" s="283"/>
      <c r="AN141" s="275" t="s">
        <v>2700</v>
      </c>
      <c r="AO141" s="276" t="s">
        <v>2702</v>
      </c>
      <c r="AQ141" s="507" t="str">
        <f t="shared" si="18"/>
        <v>5-5</v>
      </c>
      <c r="AR141" s="509" t="str">
        <f t="shared" si="19"/>
        <v/>
      </c>
      <c r="AS141" s="511" t="str">
        <f t="shared" si="20"/>
        <v/>
      </c>
      <c r="AT141" s="513" t="str">
        <f t="shared" si="21"/>
        <v/>
      </c>
      <c r="AU141" s="515" t="str">
        <f t="shared" si="22"/>
        <v/>
      </c>
      <c r="AV141" s="517" t="str">
        <f t="shared" si="23"/>
        <v/>
      </c>
      <c r="AW141" s="589" t="str">
        <f>IFERROR(VLOOKUP(功能_33[[#This Row],[功能代號]],SIT_FT!D:D,1,FALSE),"")</f>
        <v/>
      </c>
    </row>
    <row r="142" spans="3:49" ht="13.5" hidden="1" x14ac:dyDescent="0.3">
      <c r="C142" s="276" t="s">
        <v>81</v>
      </c>
      <c r="D142" s="276" t="s">
        <v>2489</v>
      </c>
      <c r="E142" s="275" t="s">
        <v>490</v>
      </c>
      <c r="F142" s="276" t="s">
        <v>491</v>
      </c>
      <c r="G142" s="276" t="s">
        <v>492</v>
      </c>
      <c r="H142" s="275" t="s">
        <v>466</v>
      </c>
      <c r="I142" s="275" t="s">
        <v>466</v>
      </c>
      <c r="J142" s="218" t="s">
        <v>467</v>
      </c>
      <c r="K142" s="283">
        <v>44568</v>
      </c>
      <c r="L142" s="283">
        <v>44568</v>
      </c>
      <c r="M142" s="283">
        <v>44463</v>
      </c>
      <c r="N142" s="283">
        <v>44463</v>
      </c>
      <c r="O142" s="283">
        <v>44473</v>
      </c>
      <c r="P142" s="275" t="s">
        <v>7</v>
      </c>
      <c r="Q142" s="275" t="s">
        <v>11</v>
      </c>
      <c r="R142" s="258" t="s">
        <v>25</v>
      </c>
      <c r="V142" s="275"/>
      <c r="X142" s="275"/>
      <c r="Y142" s="275"/>
      <c r="Z142" s="276" t="str">
        <f>VLOOKUP(功能_33[[#This Row],[User]],SKL放款!A:G,7,FALSE)</f>
        <v>放款服務課</v>
      </c>
      <c r="AA142" s="283">
        <v>44489</v>
      </c>
      <c r="AB142" s="283">
        <v>44477</v>
      </c>
      <c r="AC142" s="283">
        <f>IF(功能_33[[#This Row],[URS交二審]]=0,"",功能_33[[#This Row],[URS交二審]]+7)</f>
        <v>44484</v>
      </c>
      <c r="AD142" s="283">
        <f>IF(功能_33[[#This Row],[URS交二審]]=0,"",功能_33[[#This Row],[URS交二審]]+7)</f>
        <v>44484</v>
      </c>
      <c r="AE142" s="283">
        <v>44489</v>
      </c>
      <c r="AF142" s="283"/>
      <c r="AI142" s="283">
        <f>IFERROR(IF(VLOOKUP(功能_33[[#This Row],[功能代號]],E:S,11,FALSE)=0,"",VLOOKUP(功能_33[[#This Row],[功能代號]],E:S,11,FALSE)),"")</f>
        <v>44473</v>
      </c>
      <c r="AJ142" s="283"/>
      <c r="AK142" s="283"/>
      <c r="AL142" s="276"/>
      <c r="AN142" s="275" t="s">
        <v>2700</v>
      </c>
      <c r="AO142" s="276" t="s">
        <v>2702</v>
      </c>
      <c r="AQ142" s="507" t="str">
        <f t="shared" si="18"/>
        <v>5-5</v>
      </c>
      <c r="AR142" s="509" t="str">
        <f t="shared" si="19"/>
        <v/>
      </c>
      <c r="AS142" s="511" t="str">
        <f t="shared" si="20"/>
        <v/>
      </c>
      <c r="AT142" s="513" t="str">
        <f t="shared" si="21"/>
        <v/>
      </c>
      <c r="AU142" s="515" t="str">
        <f t="shared" si="22"/>
        <v/>
      </c>
      <c r="AV142" s="517" t="str">
        <f t="shared" si="23"/>
        <v/>
      </c>
      <c r="AW142" s="589" t="str">
        <f>IFERROR(VLOOKUP(功能_33[[#This Row],[功能代號]],SIT_FT!D:D,1,FALSE),"")</f>
        <v/>
      </c>
    </row>
    <row r="143" spans="3:49" ht="13.5" hidden="1" x14ac:dyDescent="0.3">
      <c r="C143" s="276" t="s">
        <v>81</v>
      </c>
      <c r="D143" s="276" t="s">
        <v>2489</v>
      </c>
      <c r="E143" s="275" t="s">
        <v>493</v>
      </c>
      <c r="F143" s="276" t="s">
        <v>494</v>
      </c>
      <c r="G143" s="276"/>
      <c r="H143" s="275" t="s">
        <v>466</v>
      </c>
      <c r="I143" s="275" t="s">
        <v>466</v>
      </c>
      <c r="J143" s="218" t="s">
        <v>467</v>
      </c>
      <c r="K143" s="283">
        <v>44568</v>
      </c>
      <c r="L143" s="283">
        <v>44568</v>
      </c>
      <c r="M143" s="283">
        <v>44463</v>
      </c>
      <c r="N143" s="283">
        <v>44463</v>
      </c>
      <c r="O143" s="283">
        <f>IFERROR(IF(VLOOKUP(功能_33[[#This Row],[功能代號]],討論項目!A:H,8,FALSE)=0,"",VLOOKUP(功能_33[[#This Row],[功能代號]],討論項目!A:H,8,FALSE)),"")</f>
        <v>44468</v>
      </c>
      <c r="P143" s="275" t="s">
        <v>7</v>
      </c>
      <c r="Q143" s="275" t="s">
        <v>11</v>
      </c>
      <c r="R143" s="258" t="s">
        <v>25</v>
      </c>
      <c r="V143" s="275"/>
      <c r="X143" s="275"/>
      <c r="Y143" s="275"/>
      <c r="Z143" s="276" t="str">
        <f>VLOOKUP(功能_33[[#This Row],[User]],SKL放款!A:G,7,FALSE)</f>
        <v>放款服務課</v>
      </c>
      <c r="AA143" s="283">
        <v>44489</v>
      </c>
      <c r="AB143" s="283">
        <v>44477</v>
      </c>
      <c r="AC143" s="283">
        <f>IF(功能_33[[#This Row],[URS交二審]]=0,"",功能_33[[#This Row],[URS交二審]]+7)</f>
        <v>44484</v>
      </c>
      <c r="AD143" s="283">
        <f>IF(功能_33[[#This Row],[URS交二審]]=0,"",功能_33[[#This Row],[URS交二審]]+7)</f>
        <v>44484</v>
      </c>
      <c r="AE143" s="283">
        <v>44489</v>
      </c>
      <c r="AF143" s="283"/>
      <c r="AI143" s="283">
        <f>IFERROR(IF(VLOOKUP(功能_33[[#This Row],[功能代號]],E:S,11,FALSE)=0,"",VLOOKUP(功能_33[[#This Row],[功能代號]],E:S,11,FALSE)),"")</f>
        <v>44468</v>
      </c>
      <c r="AJ143" s="283"/>
      <c r="AK143" s="283"/>
      <c r="AL143" s="276"/>
      <c r="AM143" s="283"/>
      <c r="AN143" s="275" t="s">
        <v>2700</v>
      </c>
      <c r="AO143" s="276" t="s">
        <v>2702</v>
      </c>
      <c r="AQ143" s="507" t="str">
        <f t="shared" si="18"/>
        <v>5-5</v>
      </c>
      <c r="AR143" s="509" t="str">
        <f t="shared" si="19"/>
        <v/>
      </c>
      <c r="AS143" s="511" t="str">
        <f t="shared" si="20"/>
        <v/>
      </c>
      <c r="AT143" s="513" t="str">
        <f t="shared" si="21"/>
        <v/>
      </c>
      <c r="AU143" s="515" t="str">
        <f t="shared" si="22"/>
        <v/>
      </c>
      <c r="AV143" s="517" t="str">
        <f t="shared" si="23"/>
        <v/>
      </c>
      <c r="AW143" s="589" t="str">
        <f>IFERROR(VLOOKUP(功能_33[[#This Row],[功能代號]],SIT_FT!D:D,1,FALSE),"")</f>
        <v/>
      </c>
    </row>
    <row r="144" spans="3:49" ht="13.5" hidden="1" x14ac:dyDescent="0.3">
      <c r="C144" s="276" t="s">
        <v>81</v>
      </c>
      <c r="D144" s="276" t="s">
        <v>2489</v>
      </c>
      <c r="E144" s="275" t="s">
        <v>495</v>
      </c>
      <c r="F144" s="276" t="s">
        <v>496</v>
      </c>
      <c r="G144" s="276"/>
      <c r="H144" s="275" t="s">
        <v>466</v>
      </c>
      <c r="I144" s="275" t="s">
        <v>466</v>
      </c>
      <c r="J144" s="218" t="s">
        <v>467</v>
      </c>
      <c r="K144" s="283">
        <v>44568</v>
      </c>
      <c r="L144" s="283">
        <v>44568</v>
      </c>
      <c r="M144" s="283">
        <v>44463</v>
      </c>
      <c r="N144" s="283">
        <v>44463</v>
      </c>
      <c r="O144" s="283">
        <v>44463</v>
      </c>
      <c r="P144" s="275" t="s">
        <v>7</v>
      </c>
      <c r="Q144" s="275" t="s">
        <v>11</v>
      </c>
      <c r="R144" s="258" t="s">
        <v>25</v>
      </c>
      <c r="V144" s="275"/>
      <c r="X144" s="275"/>
      <c r="Y144" s="275"/>
      <c r="Z144" s="276" t="str">
        <f>VLOOKUP(功能_33[[#This Row],[User]],SKL放款!A:G,7,FALSE)</f>
        <v>放款服務課</v>
      </c>
      <c r="AA144" s="283">
        <v>44489</v>
      </c>
      <c r="AB144" s="283">
        <v>44477</v>
      </c>
      <c r="AC144" s="283">
        <f>IF(功能_33[[#This Row],[URS交二審]]=0,"",功能_33[[#This Row],[URS交二審]]+7)</f>
        <v>44484</v>
      </c>
      <c r="AD144" s="283">
        <f>IF(功能_33[[#This Row],[URS交二審]]=0,"",功能_33[[#This Row],[URS交二審]]+7)</f>
        <v>44484</v>
      </c>
      <c r="AE144" s="283">
        <v>44489</v>
      </c>
      <c r="AF144" s="283"/>
      <c r="AI144" s="283">
        <f>IFERROR(IF(VLOOKUP(功能_33[[#This Row],[功能代號]],E:S,11,FALSE)=0,"",VLOOKUP(功能_33[[#This Row],[功能代號]],E:S,11,FALSE)),"")</f>
        <v>44463</v>
      </c>
      <c r="AJ144" s="283"/>
      <c r="AK144" s="283"/>
      <c r="AL144" s="276"/>
      <c r="AM144" s="283"/>
      <c r="AN144" s="275" t="s">
        <v>2700</v>
      </c>
      <c r="AO144" s="276" t="s">
        <v>2702</v>
      </c>
      <c r="AQ144" s="507" t="str">
        <f t="shared" si="18"/>
        <v>5-5</v>
      </c>
      <c r="AR144" s="509" t="str">
        <f t="shared" si="19"/>
        <v/>
      </c>
      <c r="AS144" s="511" t="str">
        <f t="shared" si="20"/>
        <v/>
      </c>
      <c r="AT144" s="513" t="str">
        <f t="shared" si="21"/>
        <v/>
      </c>
      <c r="AU144" s="515" t="str">
        <f t="shared" si="22"/>
        <v/>
      </c>
      <c r="AV144" s="517" t="str">
        <f t="shared" si="23"/>
        <v/>
      </c>
      <c r="AW144" s="589" t="str">
        <f>IFERROR(VLOOKUP(功能_33[[#This Row],[功能代號]],SIT_FT!D:D,1,FALSE),"")</f>
        <v/>
      </c>
    </row>
    <row r="145" spans="3:49" ht="13.5" hidden="1" x14ac:dyDescent="0.3">
      <c r="C145" s="276" t="s">
        <v>81</v>
      </c>
      <c r="D145" s="276" t="s">
        <v>2489</v>
      </c>
      <c r="E145" s="275" t="s">
        <v>497</v>
      </c>
      <c r="F145" s="276" t="s">
        <v>498</v>
      </c>
      <c r="G145" s="276"/>
      <c r="H145" s="275" t="s">
        <v>466</v>
      </c>
      <c r="I145" s="275" t="s">
        <v>466</v>
      </c>
      <c r="J145" s="218" t="s">
        <v>467</v>
      </c>
      <c r="K145" s="283">
        <v>44568</v>
      </c>
      <c r="L145" s="283">
        <v>44568</v>
      </c>
      <c r="M145" s="283">
        <v>44466</v>
      </c>
      <c r="N145" s="283">
        <v>44463</v>
      </c>
      <c r="O145" s="283">
        <v>44463</v>
      </c>
      <c r="P145" s="275" t="s">
        <v>7</v>
      </c>
      <c r="Q145" s="275" t="s">
        <v>11</v>
      </c>
      <c r="R145" s="258" t="s">
        <v>25</v>
      </c>
      <c r="V145" s="275"/>
      <c r="X145" s="275"/>
      <c r="Y145" s="275"/>
      <c r="Z145" s="276" t="str">
        <f>VLOOKUP(功能_33[[#This Row],[User]],SKL放款!A:G,7,FALSE)</f>
        <v>放款服務課</v>
      </c>
      <c r="AA145" s="283">
        <v>44489</v>
      </c>
      <c r="AB145" s="283">
        <v>44477</v>
      </c>
      <c r="AC145" s="283">
        <f>IF(功能_33[[#This Row],[URS交二審]]=0,"",功能_33[[#This Row],[URS交二審]]+7)</f>
        <v>44484</v>
      </c>
      <c r="AD145" s="283">
        <f>IF(功能_33[[#This Row],[URS交二審]]=0,"",功能_33[[#This Row],[URS交二審]]+7)</f>
        <v>44484</v>
      </c>
      <c r="AE145" s="283">
        <v>44489</v>
      </c>
      <c r="AF145" s="283"/>
      <c r="AI145" s="283">
        <f>IFERROR(IF(VLOOKUP(功能_33[[#This Row],[功能代號]],E:S,11,FALSE)=0,"",VLOOKUP(功能_33[[#This Row],[功能代號]],E:S,11,FALSE)),"")</f>
        <v>44463</v>
      </c>
      <c r="AJ145" s="283"/>
      <c r="AK145" s="283"/>
      <c r="AL145" s="276"/>
      <c r="AM145" s="283"/>
      <c r="AN145" s="275" t="s">
        <v>2700</v>
      </c>
      <c r="AO145" s="276" t="s">
        <v>2702</v>
      </c>
      <c r="AQ145" s="507" t="str">
        <f t="shared" si="18"/>
        <v>5-5</v>
      </c>
      <c r="AR145" s="509" t="str">
        <f t="shared" si="19"/>
        <v/>
      </c>
      <c r="AS145" s="511" t="str">
        <f t="shared" si="20"/>
        <v/>
      </c>
      <c r="AT145" s="513" t="str">
        <f t="shared" si="21"/>
        <v/>
      </c>
      <c r="AU145" s="515" t="str">
        <f t="shared" si="22"/>
        <v/>
      </c>
      <c r="AV145" s="517" t="str">
        <f t="shared" si="23"/>
        <v/>
      </c>
      <c r="AW145" s="589" t="str">
        <f>IFERROR(VLOOKUP(功能_33[[#This Row],[功能代號]],SIT_FT!D:D,1,FALSE),"")</f>
        <v/>
      </c>
    </row>
    <row r="146" spans="3:49" ht="13.5" hidden="1" x14ac:dyDescent="0.3">
      <c r="C146" s="276" t="s">
        <v>81</v>
      </c>
      <c r="D146" s="276" t="s">
        <v>2489</v>
      </c>
      <c r="E146" s="275" t="s">
        <v>499</v>
      </c>
      <c r="F146" s="276" t="s">
        <v>500</v>
      </c>
      <c r="G146" s="276"/>
      <c r="H146" s="275" t="s">
        <v>466</v>
      </c>
      <c r="I146" s="275" t="s">
        <v>466</v>
      </c>
      <c r="J146" s="218" t="s">
        <v>467</v>
      </c>
      <c r="K146" s="283">
        <v>44568</v>
      </c>
      <c r="L146" s="283">
        <v>44568</v>
      </c>
      <c r="M146" s="283">
        <v>44466</v>
      </c>
      <c r="N146" s="283">
        <v>44463</v>
      </c>
      <c r="O146" s="283">
        <v>44463</v>
      </c>
      <c r="P146" s="275" t="s">
        <v>7</v>
      </c>
      <c r="Q146" s="275" t="s">
        <v>11</v>
      </c>
      <c r="R146" s="258" t="s">
        <v>25</v>
      </c>
      <c r="V146" s="275"/>
      <c r="X146" s="275"/>
      <c r="Y146" s="275"/>
      <c r="Z146" s="276" t="str">
        <f>VLOOKUP(功能_33[[#This Row],[User]],SKL放款!A:G,7,FALSE)</f>
        <v>放款服務課</v>
      </c>
      <c r="AA146" s="283">
        <v>44489</v>
      </c>
      <c r="AB146" s="283">
        <v>44477</v>
      </c>
      <c r="AC146" s="283">
        <f>IF(功能_33[[#This Row],[URS交二審]]=0,"",功能_33[[#This Row],[URS交二審]]+7)</f>
        <v>44484</v>
      </c>
      <c r="AD146" s="283">
        <f>IF(功能_33[[#This Row],[URS交二審]]=0,"",功能_33[[#This Row],[URS交二審]]+7)</f>
        <v>44484</v>
      </c>
      <c r="AE146" s="283">
        <v>44489</v>
      </c>
      <c r="AF146" s="283"/>
      <c r="AI146" s="283">
        <f>IFERROR(IF(VLOOKUP(功能_33[[#This Row],[功能代號]],E:S,11,FALSE)=0,"",VLOOKUP(功能_33[[#This Row],[功能代號]],E:S,11,FALSE)),"")</f>
        <v>44463</v>
      </c>
      <c r="AJ146" s="283"/>
      <c r="AK146" s="283"/>
      <c r="AL146" s="276"/>
      <c r="AM146" s="283"/>
      <c r="AN146" s="275" t="s">
        <v>2700</v>
      </c>
      <c r="AO146" s="276" t="s">
        <v>2702</v>
      </c>
      <c r="AQ146" s="507" t="str">
        <f t="shared" si="18"/>
        <v>5-5</v>
      </c>
      <c r="AR146" s="509" t="str">
        <f t="shared" si="19"/>
        <v/>
      </c>
      <c r="AS146" s="511" t="str">
        <f t="shared" si="20"/>
        <v/>
      </c>
      <c r="AT146" s="513" t="str">
        <f t="shared" si="21"/>
        <v/>
      </c>
      <c r="AU146" s="515" t="str">
        <f t="shared" si="22"/>
        <v/>
      </c>
      <c r="AV146" s="517" t="str">
        <f t="shared" si="23"/>
        <v/>
      </c>
      <c r="AW146" s="589" t="str">
        <f>IFERROR(VLOOKUP(功能_33[[#This Row],[功能代號]],SIT_FT!D:D,1,FALSE),"")</f>
        <v/>
      </c>
    </row>
    <row r="147" spans="3:49" ht="13.5" hidden="1" x14ac:dyDescent="0.3">
      <c r="C147" s="276" t="s">
        <v>81</v>
      </c>
      <c r="D147" s="276" t="s">
        <v>2489</v>
      </c>
      <c r="E147" s="275" t="s">
        <v>501</v>
      </c>
      <c r="F147" s="276" t="s">
        <v>502</v>
      </c>
      <c r="G147" s="276"/>
      <c r="H147" s="275" t="s">
        <v>466</v>
      </c>
      <c r="I147" s="275" t="s">
        <v>466</v>
      </c>
      <c r="J147" s="218" t="s">
        <v>467</v>
      </c>
      <c r="K147" s="283">
        <v>44568</v>
      </c>
      <c r="L147" s="283">
        <v>44568</v>
      </c>
      <c r="M147" s="283">
        <v>44466</v>
      </c>
      <c r="N147" s="283">
        <v>44463</v>
      </c>
      <c r="O147" s="283">
        <v>44463</v>
      </c>
      <c r="P147" s="275" t="s">
        <v>7</v>
      </c>
      <c r="Q147" s="275" t="s">
        <v>11</v>
      </c>
      <c r="R147" s="258" t="s">
        <v>25</v>
      </c>
      <c r="V147" s="275"/>
      <c r="X147" s="275"/>
      <c r="Y147" s="275"/>
      <c r="Z147" s="276" t="str">
        <f>VLOOKUP(功能_33[[#This Row],[User]],SKL放款!A:G,7,FALSE)</f>
        <v>放款服務課</v>
      </c>
      <c r="AA147" s="283">
        <v>44489</v>
      </c>
      <c r="AB147" s="283">
        <v>44477</v>
      </c>
      <c r="AC147" s="283">
        <f>IF(功能_33[[#This Row],[URS交二審]]=0,"",功能_33[[#This Row],[URS交二審]]+7)</f>
        <v>44484</v>
      </c>
      <c r="AD147" s="283">
        <f>IF(功能_33[[#This Row],[URS交二審]]=0,"",功能_33[[#This Row],[URS交二審]]+7)</f>
        <v>44484</v>
      </c>
      <c r="AE147" s="283">
        <v>44489</v>
      </c>
      <c r="AF147" s="283"/>
      <c r="AI147" s="283">
        <f>IFERROR(IF(VLOOKUP(功能_33[[#This Row],[功能代號]],E:S,11,FALSE)=0,"",VLOOKUP(功能_33[[#This Row],[功能代號]],E:S,11,FALSE)),"")</f>
        <v>44463</v>
      </c>
      <c r="AJ147" s="283"/>
      <c r="AK147" s="283"/>
      <c r="AL147" s="276"/>
      <c r="AM147" s="283"/>
      <c r="AN147" s="275" t="s">
        <v>2700</v>
      </c>
      <c r="AO147" s="276" t="s">
        <v>2702</v>
      </c>
      <c r="AQ147" s="507" t="str">
        <f t="shared" si="18"/>
        <v>5-5</v>
      </c>
      <c r="AR147" s="509" t="str">
        <f t="shared" si="19"/>
        <v/>
      </c>
      <c r="AS147" s="511" t="str">
        <f t="shared" si="20"/>
        <v/>
      </c>
      <c r="AT147" s="513" t="str">
        <f t="shared" si="21"/>
        <v/>
      </c>
      <c r="AU147" s="515" t="str">
        <f t="shared" si="22"/>
        <v/>
      </c>
      <c r="AV147" s="517" t="str">
        <f t="shared" si="23"/>
        <v/>
      </c>
      <c r="AW147" s="589" t="str">
        <f>IFERROR(VLOOKUP(功能_33[[#This Row],[功能代號]],SIT_FT!D:D,1,FALSE),"")</f>
        <v/>
      </c>
    </row>
    <row r="148" spans="3:49" ht="13.5" hidden="1" x14ac:dyDescent="0.3">
      <c r="C148" s="276" t="s">
        <v>81</v>
      </c>
      <c r="D148" s="276" t="s">
        <v>2489</v>
      </c>
      <c r="E148" s="275" t="s">
        <v>503</v>
      </c>
      <c r="F148" s="276" t="s">
        <v>504</v>
      </c>
      <c r="G148" s="276"/>
      <c r="H148" s="275" t="s">
        <v>466</v>
      </c>
      <c r="I148" s="275" t="s">
        <v>466</v>
      </c>
      <c r="J148" s="218" t="s">
        <v>467</v>
      </c>
      <c r="K148" s="283">
        <v>44568</v>
      </c>
      <c r="L148" s="283">
        <v>44568</v>
      </c>
      <c r="M148" s="283">
        <v>44466</v>
      </c>
      <c r="N148" s="283">
        <v>44463</v>
      </c>
      <c r="O148" s="283">
        <v>44463</v>
      </c>
      <c r="P148" s="275" t="s">
        <v>7</v>
      </c>
      <c r="Q148" s="275" t="s">
        <v>11</v>
      </c>
      <c r="R148" s="258" t="s">
        <v>25</v>
      </c>
      <c r="V148" s="275"/>
      <c r="X148" s="275"/>
      <c r="Y148" s="275"/>
      <c r="Z148" s="276" t="str">
        <f>VLOOKUP(功能_33[[#This Row],[User]],SKL放款!A:G,7,FALSE)</f>
        <v>放款服務課</v>
      </c>
      <c r="AA148" s="283">
        <v>44489</v>
      </c>
      <c r="AB148" s="283">
        <v>44477</v>
      </c>
      <c r="AC148" s="283">
        <f>IF(功能_33[[#This Row],[URS交二審]]=0,"",功能_33[[#This Row],[URS交二審]]+7)</f>
        <v>44484</v>
      </c>
      <c r="AD148" s="283">
        <f>IF(功能_33[[#This Row],[URS交二審]]=0,"",功能_33[[#This Row],[URS交二審]]+7)</f>
        <v>44484</v>
      </c>
      <c r="AE148" s="283">
        <v>44489</v>
      </c>
      <c r="AF148" s="283"/>
      <c r="AI148" s="283">
        <f>IFERROR(IF(VLOOKUP(功能_33[[#This Row],[功能代號]],E:S,11,FALSE)=0,"",VLOOKUP(功能_33[[#This Row],[功能代號]],E:S,11,FALSE)),"")</f>
        <v>44463</v>
      </c>
      <c r="AJ148" s="283"/>
      <c r="AK148" s="283"/>
      <c r="AL148" s="276"/>
      <c r="AM148" s="283"/>
      <c r="AN148" s="275" t="s">
        <v>2700</v>
      </c>
      <c r="AO148" s="276" t="s">
        <v>2702</v>
      </c>
      <c r="AQ148" s="507" t="str">
        <f t="shared" si="18"/>
        <v>5-5</v>
      </c>
      <c r="AR148" s="509" t="str">
        <f t="shared" si="19"/>
        <v/>
      </c>
      <c r="AS148" s="511" t="str">
        <f t="shared" si="20"/>
        <v/>
      </c>
      <c r="AT148" s="513" t="str">
        <f t="shared" si="21"/>
        <v/>
      </c>
      <c r="AU148" s="515" t="str">
        <f t="shared" si="22"/>
        <v/>
      </c>
      <c r="AV148" s="517" t="str">
        <f t="shared" si="23"/>
        <v/>
      </c>
      <c r="AW148" s="589" t="str">
        <f>IFERROR(VLOOKUP(功能_33[[#This Row],[功能代號]],SIT_FT!D:D,1,FALSE),"")</f>
        <v/>
      </c>
    </row>
    <row r="149" spans="3:49" ht="13.5" hidden="1" x14ac:dyDescent="0.3">
      <c r="C149" s="276" t="s">
        <v>81</v>
      </c>
      <c r="D149" s="276" t="s">
        <v>2489</v>
      </c>
      <c r="E149" s="275" t="s">
        <v>505</v>
      </c>
      <c r="F149" s="276" t="s">
        <v>506</v>
      </c>
      <c r="G149" s="276"/>
      <c r="H149" s="275" t="s">
        <v>466</v>
      </c>
      <c r="I149" s="275" t="s">
        <v>466</v>
      </c>
      <c r="J149" s="218" t="s">
        <v>467</v>
      </c>
      <c r="K149" s="283">
        <v>44568</v>
      </c>
      <c r="L149" s="283">
        <v>44568</v>
      </c>
      <c r="M149" s="283">
        <v>44466</v>
      </c>
      <c r="N149" s="283">
        <v>44463</v>
      </c>
      <c r="O149" s="283">
        <v>44463</v>
      </c>
      <c r="P149" s="275" t="s">
        <v>7</v>
      </c>
      <c r="Q149" s="275" t="s">
        <v>11</v>
      </c>
      <c r="R149" s="258" t="s">
        <v>25</v>
      </c>
      <c r="V149" s="275"/>
      <c r="X149" s="275"/>
      <c r="Y149" s="275"/>
      <c r="Z149" s="276" t="str">
        <f>VLOOKUP(功能_33[[#This Row],[User]],SKL放款!A:G,7,FALSE)</f>
        <v>放款服務課</v>
      </c>
      <c r="AA149" s="283">
        <v>44489</v>
      </c>
      <c r="AB149" s="283">
        <v>44477</v>
      </c>
      <c r="AC149" s="283">
        <f>IF(功能_33[[#This Row],[URS交二審]]=0,"",功能_33[[#This Row],[URS交二審]]+7)</f>
        <v>44484</v>
      </c>
      <c r="AD149" s="283">
        <f>IF(功能_33[[#This Row],[URS交二審]]=0,"",功能_33[[#This Row],[URS交二審]]+7)</f>
        <v>44484</v>
      </c>
      <c r="AE149" s="283">
        <v>44489</v>
      </c>
      <c r="AF149" s="283"/>
      <c r="AI149" s="283">
        <f>IFERROR(IF(VLOOKUP(功能_33[[#This Row],[功能代號]],E:S,11,FALSE)=0,"",VLOOKUP(功能_33[[#This Row],[功能代號]],E:S,11,FALSE)),"")</f>
        <v>44463</v>
      </c>
      <c r="AJ149" s="283"/>
      <c r="AK149" s="283"/>
      <c r="AL149" s="276"/>
      <c r="AM149" s="283"/>
      <c r="AN149" s="275" t="s">
        <v>2700</v>
      </c>
      <c r="AO149" s="276" t="s">
        <v>2702</v>
      </c>
      <c r="AQ149" s="507" t="str">
        <f t="shared" si="18"/>
        <v>5-5</v>
      </c>
      <c r="AR149" s="509" t="str">
        <f t="shared" si="19"/>
        <v/>
      </c>
      <c r="AS149" s="511" t="str">
        <f t="shared" si="20"/>
        <v/>
      </c>
      <c r="AT149" s="513" t="str">
        <f t="shared" si="21"/>
        <v/>
      </c>
      <c r="AU149" s="515" t="str">
        <f t="shared" si="22"/>
        <v/>
      </c>
      <c r="AV149" s="517" t="str">
        <f t="shared" si="23"/>
        <v/>
      </c>
      <c r="AW149" s="589" t="str">
        <f>IFERROR(VLOOKUP(功能_33[[#This Row],[功能代號]],SIT_FT!D:D,1,FALSE),"")</f>
        <v/>
      </c>
    </row>
    <row r="150" spans="3:49" ht="13.5" hidden="1" x14ac:dyDescent="0.3">
      <c r="C150" s="276" t="s">
        <v>81</v>
      </c>
      <c r="D150" s="276" t="s">
        <v>2489</v>
      </c>
      <c r="E150" s="275" t="s">
        <v>507</v>
      </c>
      <c r="F150" s="276" t="s">
        <v>508</v>
      </c>
      <c r="G150" s="276"/>
      <c r="H150" s="275" t="s">
        <v>466</v>
      </c>
      <c r="I150" s="275" t="s">
        <v>466</v>
      </c>
      <c r="J150" s="218" t="s">
        <v>467</v>
      </c>
      <c r="K150" s="283">
        <v>44568</v>
      </c>
      <c r="L150" s="283">
        <v>44568</v>
      </c>
      <c r="M150" s="283">
        <v>44462</v>
      </c>
      <c r="N150" s="283">
        <v>44462</v>
      </c>
      <c r="O150" s="283">
        <f>IF(功能_33[[#This Row],[URS交二審]]=0,"",功能_33[[#This Row],[URS交二審]]+7)</f>
        <v>44484</v>
      </c>
      <c r="P150" s="275" t="s">
        <v>7</v>
      </c>
      <c r="Q150" s="275" t="s">
        <v>11</v>
      </c>
      <c r="R150" s="258" t="s">
        <v>25</v>
      </c>
      <c r="V150" s="275"/>
      <c r="X150" s="275"/>
      <c r="Y150" s="275"/>
      <c r="Z150" s="276" t="str">
        <f>VLOOKUP(功能_33[[#This Row],[User]],SKL放款!A:G,7,FALSE)</f>
        <v>放款服務課</v>
      </c>
      <c r="AA150" s="283">
        <v>44489</v>
      </c>
      <c r="AB150" s="283">
        <v>44477</v>
      </c>
      <c r="AC150" s="283">
        <f>IF(功能_33[[#This Row],[URS交二審]]=0,"",功能_33[[#This Row],[URS交二審]]+7)</f>
        <v>44484</v>
      </c>
      <c r="AD150" s="283">
        <f>IF(功能_33[[#This Row],[URS交二審]]=0,"",功能_33[[#This Row],[URS交二審]]+7)</f>
        <v>44484</v>
      </c>
      <c r="AE150" s="283">
        <v>44489</v>
      </c>
      <c r="AF150" s="283"/>
      <c r="AI150" s="283">
        <f>IFERROR(IF(VLOOKUP(功能_33[[#This Row],[功能代號]],E:S,11,FALSE)=0,"",VLOOKUP(功能_33[[#This Row],[功能代號]],E:S,11,FALSE)),"")</f>
        <v>44484</v>
      </c>
      <c r="AJ150" s="283"/>
      <c r="AK150" s="283"/>
      <c r="AL150" s="276"/>
      <c r="AN150" s="275" t="s">
        <v>2700</v>
      </c>
      <c r="AO150" s="276" t="s">
        <v>2702</v>
      </c>
      <c r="AQ150" s="507" t="str">
        <f t="shared" si="18"/>
        <v>5-5</v>
      </c>
      <c r="AR150" s="509" t="str">
        <f t="shared" si="19"/>
        <v/>
      </c>
      <c r="AS150" s="511" t="str">
        <f t="shared" si="20"/>
        <v/>
      </c>
      <c r="AT150" s="513" t="str">
        <f t="shared" si="21"/>
        <v/>
      </c>
      <c r="AU150" s="515" t="str">
        <f t="shared" si="22"/>
        <v/>
      </c>
      <c r="AV150" s="517" t="str">
        <f t="shared" si="23"/>
        <v/>
      </c>
      <c r="AW150" s="589" t="str">
        <f>IFERROR(VLOOKUP(功能_33[[#This Row],[功能代號]],SIT_FT!D:D,1,FALSE),"")</f>
        <v/>
      </c>
    </row>
    <row r="151" spans="3:49" ht="13.5" hidden="1" x14ac:dyDescent="0.3">
      <c r="C151" s="276" t="s">
        <v>81</v>
      </c>
      <c r="D151" s="276" t="s">
        <v>2489</v>
      </c>
      <c r="E151" s="275" t="s">
        <v>509</v>
      </c>
      <c r="F151" s="276" t="s">
        <v>510</v>
      </c>
      <c r="G151" s="276"/>
      <c r="H151" s="275" t="s">
        <v>466</v>
      </c>
      <c r="I151" s="275" t="s">
        <v>466</v>
      </c>
      <c r="J151" s="218" t="s">
        <v>467</v>
      </c>
      <c r="K151" s="283">
        <v>44568</v>
      </c>
      <c r="L151" s="283">
        <v>44568</v>
      </c>
      <c r="M151" s="283">
        <v>44463</v>
      </c>
      <c r="N151" s="283">
        <v>44463</v>
      </c>
      <c r="O151" s="283">
        <f>IF(功能_33[[#This Row],[URS交二審]]=0,"",功能_33[[#This Row],[URS交二審]]+7)</f>
        <v>44484</v>
      </c>
      <c r="P151" s="275" t="s">
        <v>7</v>
      </c>
      <c r="Q151" s="275" t="s">
        <v>11</v>
      </c>
      <c r="R151" s="258" t="s">
        <v>25</v>
      </c>
      <c r="V151" s="275"/>
      <c r="X151" s="275"/>
      <c r="Y151" s="275"/>
      <c r="Z151" s="276" t="str">
        <f>VLOOKUP(功能_33[[#This Row],[User]],SKL放款!A:G,7,FALSE)</f>
        <v>放款服務課</v>
      </c>
      <c r="AA151" s="283">
        <v>44489</v>
      </c>
      <c r="AB151" s="283">
        <v>44477</v>
      </c>
      <c r="AC151" s="283">
        <f>IF(功能_33[[#This Row],[URS交二審]]=0,"",功能_33[[#This Row],[URS交二審]]+7)</f>
        <v>44484</v>
      </c>
      <c r="AD151" s="283">
        <f>IF(功能_33[[#This Row],[URS交二審]]=0,"",功能_33[[#This Row],[URS交二審]]+7)</f>
        <v>44484</v>
      </c>
      <c r="AE151" s="283">
        <v>44489</v>
      </c>
      <c r="AF151" s="283"/>
      <c r="AI151" s="283">
        <f>IFERROR(IF(VLOOKUP(功能_33[[#This Row],[功能代號]],E:S,11,FALSE)=0,"",VLOOKUP(功能_33[[#This Row],[功能代號]],E:S,11,FALSE)),"")</f>
        <v>44484</v>
      </c>
      <c r="AJ151" s="283"/>
      <c r="AK151" s="283"/>
      <c r="AL151" s="276"/>
      <c r="AN151" s="275" t="s">
        <v>2700</v>
      </c>
      <c r="AO151" s="276" t="s">
        <v>2702</v>
      </c>
      <c r="AQ151" s="507" t="str">
        <f t="shared" si="18"/>
        <v>5-5</v>
      </c>
      <c r="AR151" s="509" t="str">
        <f t="shared" si="19"/>
        <v/>
      </c>
      <c r="AS151" s="511" t="str">
        <f t="shared" si="20"/>
        <v/>
      </c>
      <c r="AT151" s="513" t="str">
        <f t="shared" si="21"/>
        <v/>
      </c>
      <c r="AU151" s="515" t="str">
        <f t="shared" si="22"/>
        <v/>
      </c>
      <c r="AV151" s="517" t="str">
        <f t="shared" si="23"/>
        <v/>
      </c>
      <c r="AW151" s="589" t="str">
        <f>IFERROR(VLOOKUP(功能_33[[#This Row],[功能代號]],SIT_FT!D:D,1,FALSE),"")</f>
        <v/>
      </c>
    </row>
    <row r="152" spans="3:49" ht="13.5" hidden="1" x14ac:dyDescent="0.3">
      <c r="C152" s="276" t="s">
        <v>81</v>
      </c>
      <c r="D152" s="276" t="s">
        <v>2489</v>
      </c>
      <c r="E152" s="275" t="s">
        <v>511</v>
      </c>
      <c r="F152" s="276" t="s">
        <v>512</v>
      </c>
      <c r="G152" s="276"/>
      <c r="H152" s="275" t="s">
        <v>466</v>
      </c>
      <c r="I152" s="275" t="s">
        <v>466</v>
      </c>
      <c r="J152" s="218" t="s">
        <v>467</v>
      </c>
      <c r="K152" s="283">
        <v>44568</v>
      </c>
      <c r="L152" s="283">
        <v>44568</v>
      </c>
      <c r="M152" s="283">
        <v>44463</v>
      </c>
      <c r="N152" s="283">
        <v>44463</v>
      </c>
      <c r="O152" s="283">
        <f>IF(功能_33[[#This Row],[URS交二審]]=0,"",功能_33[[#This Row],[URS交二審]]+7)</f>
        <v>44484</v>
      </c>
      <c r="P152" s="275" t="s">
        <v>7</v>
      </c>
      <c r="Q152" s="275" t="s">
        <v>11</v>
      </c>
      <c r="R152" s="258" t="s">
        <v>25</v>
      </c>
      <c r="V152" s="275"/>
      <c r="X152" s="275"/>
      <c r="Y152" s="275"/>
      <c r="Z152" s="276" t="str">
        <f>VLOOKUP(功能_33[[#This Row],[User]],SKL放款!A:G,7,FALSE)</f>
        <v>放款服務課</v>
      </c>
      <c r="AA152" s="283">
        <v>44489</v>
      </c>
      <c r="AB152" s="283">
        <v>44477</v>
      </c>
      <c r="AC152" s="283">
        <f>IF(功能_33[[#This Row],[URS交二審]]=0,"",功能_33[[#This Row],[URS交二審]]+7)</f>
        <v>44484</v>
      </c>
      <c r="AD152" s="283">
        <f>IF(功能_33[[#This Row],[URS交二審]]=0,"",功能_33[[#This Row],[URS交二審]]+7)</f>
        <v>44484</v>
      </c>
      <c r="AE152" s="283">
        <v>44489</v>
      </c>
      <c r="AF152" s="283"/>
      <c r="AI152" s="283">
        <f>IFERROR(IF(VLOOKUP(功能_33[[#This Row],[功能代號]],E:S,11,FALSE)=0,"",VLOOKUP(功能_33[[#This Row],[功能代號]],E:S,11,FALSE)),"")</f>
        <v>44484</v>
      </c>
      <c r="AJ152" s="283"/>
      <c r="AK152" s="283"/>
      <c r="AL152" s="276"/>
      <c r="AN152" s="275" t="s">
        <v>2700</v>
      </c>
      <c r="AO152" s="276" t="s">
        <v>2702</v>
      </c>
      <c r="AQ152" s="507" t="str">
        <f t="shared" si="18"/>
        <v>5-5</v>
      </c>
      <c r="AR152" s="509" t="str">
        <f t="shared" si="19"/>
        <v/>
      </c>
      <c r="AS152" s="511" t="str">
        <f t="shared" si="20"/>
        <v/>
      </c>
      <c r="AT152" s="513" t="str">
        <f t="shared" si="21"/>
        <v/>
      </c>
      <c r="AU152" s="515" t="str">
        <f t="shared" si="22"/>
        <v/>
      </c>
      <c r="AV152" s="517" t="str">
        <f t="shared" si="23"/>
        <v/>
      </c>
      <c r="AW152" s="589" t="str">
        <f>IFERROR(VLOOKUP(功能_33[[#This Row],[功能代號]],SIT_FT!D:D,1,FALSE),"")</f>
        <v/>
      </c>
    </row>
    <row r="153" spans="3:49" ht="13.5" hidden="1" x14ac:dyDescent="0.3">
      <c r="C153" s="276" t="s">
        <v>81</v>
      </c>
      <c r="D153" s="276" t="s">
        <v>2489</v>
      </c>
      <c r="E153" s="275" t="s">
        <v>513</v>
      </c>
      <c r="F153" s="276" t="s">
        <v>514</v>
      </c>
      <c r="G153" s="276"/>
      <c r="H153" s="275" t="s">
        <v>466</v>
      </c>
      <c r="I153" s="275" t="s">
        <v>466</v>
      </c>
      <c r="J153" s="218" t="s">
        <v>467</v>
      </c>
      <c r="K153" s="283">
        <v>44568</v>
      </c>
      <c r="L153" s="283">
        <v>44568</v>
      </c>
      <c r="M153" s="283">
        <v>44466</v>
      </c>
      <c r="N153" s="283">
        <v>44463</v>
      </c>
      <c r="O153" s="283">
        <v>44463</v>
      </c>
      <c r="P153" s="275" t="s">
        <v>7</v>
      </c>
      <c r="Q153" s="275" t="s">
        <v>11</v>
      </c>
      <c r="R153" s="258" t="s">
        <v>25</v>
      </c>
      <c r="V153" s="275"/>
      <c r="X153" s="275"/>
      <c r="Y153" s="275"/>
      <c r="Z153" s="276" t="str">
        <f>VLOOKUP(功能_33[[#This Row],[User]],SKL放款!A:G,7,FALSE)</f>
        <v>放款服務課</v>
      </c>
      <c r="AA153" s="283">
        <v>44489</v>
      </c>
      <c r="AB153" s="283">
        <v>44477</v>
      </c>
      <c r="AC153" s="283">
        <f>IF(功能_33[[#This Row],[URS交二審]]=0,"",功能_33[[#This Row],[URS交二審]]+7)</f>
        <v>44484</v>
      </c>
      <c r="AD153" s="283">
        <f>IF(功能_33[[#This Row],[URS交二審]]=0,"",功能_33[[#This Row],[URS交二審]]+7)</f>
        <v>44484</v>
      </c>
      <c r="AE153" s="283">
        <v>44489</v>
      </c>
      <c r="AF153" s="283"/>
      <c r="AI153" s="283">
        <f>IFERROR(IF(VLOOKUP(功能_33[[#This Row],[功能代號]],E:S,11,FALSE)=0,"",VLOOKUP(功能_33[[#This Row],[功能代號]],E:S,11,FALSE)),"")</f>
        <v>44463</v>
      </c>
      <c r="AJ153" s="283"/>
      <c r="AK153" s="283"/>
      <c r="AL153" s="276"/>
      <c r="AM153" s="283"/>
      <c r="AN153" s="275" t="s">
        <v>2700</v>
      </c>
      <c r="AO153" s="276" t="s">
        <v>2702</v>
      </c>
      <c r="AQ153" s="507" t="str">
        <f t="shared" si="18"/>
        <v>5-5</v>
      </c>
      <c r="AR153" s="509" t="str">
        <f t="shared" si="19"/>
        <v/>
      </c>
      <c r="AS153" s="511" t="str">
        <f t="shared" si="20"/>
        <v/>
      </c>
      <c r="AT153" s="513" t="str">
        <f t="shared" si="21"/>
        <v/>
      </c>
      <c r="AU153" s="515" t="str">
        <f t="shared" si="22"/>
        <v/>
      </c>
      <c r="AV153" s="517" t="str">
        <f t="shared" si="23"/>
        <v/>
      </c>
      <c r="AW153" s="589" t="str">
        <f>IFERROR(VLOOKUP(功能_33[[#This Row],[功能代號]],SIT_FT!D:D,1,FALSE),"")</f>
        <v/>
      </c>
    </row>
    <row r="154" spans="3:49" ht="13.5" hidden="1" x14ac:dyDescent="0.3">
      <c r="C154" s="276" t="s">
        <v>81</v>
      </c>
      <c r="D154" s="276" t="s">
        <v>2489</v>
      </c>
      <c r="E154" s="275" t="s">
        <v>515</v>
      </c>
      <c r="F154" s="276" t="s">
        <v>516</v>
      </c>
      <c r="G154" s="276"/>
      <c r="H154" s="275" t="s">
        <v>466</v>
      </c>
      <c r="I154" s="275" t="s">
        <v>466</v>
      </c>
      <c r="J154" s="218" t="s">
        <v>467</v>
      </c>
      <c r="K154" s="283">
        <v>44568</v>
      </c>
      <c r="L154" s="283">
        <v>44568</v>
      </c>
      <c r="M154" s="283">
        <v>44466</v>
      </c>
      <c r="N154" s="283">
        <v>44463</v>
      </c>
      <c r="O154" s="283">
        <f>IFERROR(IF(VLOOKUP(功能_33[[#This Row],[功能代號]],討論項目!A:H,8,FALSE)=0,"",VLOOKUP(功能_33[[#This Row],[功能代號]],討論項目!A:H,8,FALSE)),"")</f>
        <v>44473</v>
      </c>
      <c r="P154" s="275" t="s">
        <v>7</v>
      </c>
      <c r="Q154" s="275" t="s">
        <v>11</v>
      </c>
      <c r="R154" s="258" t="s">
        <v>25</v>
      </c>
      <c r="V154" s="275"/>
      <c r="X154" s="275"/>
      <c r="Y154" s="275"/>
      <c r="Z154" s="276" t="str">
        <f>VLOOKUP(功能_33[[#This Row],[User]],SKL放款!A:G,7,FALSE)</f>
        <v>放款服務課</v>
      </c>
      <c r="AA154" s="283">
        <v>44489</v>
      </c>
      <c r="AB154" s="283">
        <v>44477</v>
      </c>
      <c r="AC154" s="283">
        <f>IF(功能_33[[#This Row],[URS交二審]]=0,"",功能_33[[#This Row],[URS交二審]]+7)</f>
        <v>44484</v>
      </c>
      <c r="AD154" s="283">
        <f>IF(功能_33[[#This Row],[URS交二審]]=0,"",功能_33[[#This Row],[URS交二審]]+7)</f>
        <v>44484</v>
      </c>
      <c r="AE154" s="283">
        <v>44489</v>
      </c>
      <c r="AF154" s="283"/>
      <c r="AI154" s="283">
        <f>IFERROR(IF(VLOOKUP(功能_33[[#This Row],[功能代號]],E:S,11,FALSE)=0,"",VLOOKUP(功能_33[[#This Row],[功能代號]],E:S,11,FALSE)),"")</f>
        <v>44473</v>
      </c>
      <c r="AJ154" s="283"/>
      <c r="AK154" s="283"/>
      <c r="AL154" s="276"/>
      <c r="AM154" s="283"/>
      <c r="AN154" s="275" t="s">
        <v>2700</v>
      </c>
      <c r="AO154" s="276" t="s">
        <v>2702</v>
      </c>
      <c r="AQ154" s="507" t="str">
        <f t="shared" si="18"/>
        <v>5-5</v>
      </c>
      <c r="AR154" s="509" t="str">
        <f t="shared" si="19"/>
        <v/>
      </c>
      <c r="AS154" s="511" t="str">
        <f t="shared" si="20"/>
        <v/>
      </c>
      <c r="AT154" s="513" t="str">
        <f t="shared" si="21"/>
        <v/>
      </c>
      <c r="AU154" s="515" t="str">
        <f t="shared" si="22"/>
        <v/>
      </c>
      <c r="AV154" s="517" t="str">
        <f t="shared" si="23"/>
        <v/>
      </c>
      <c r="AW154" s="589" t="str">
        <f>IFERROR(VLOOKUP(功能_33[[#This Row],[功能代號]],SIT_FT!D:D,1,FALSE),"")</f>
        <v/>
      </c>
    </row>
    <row r="155" spans="3:49" ht="13.5" hidden="1" x14ac:dyDescent="0.3">
      <c r="C155" s="276" t="s">
        <v>81</v>
      </c>
      <c r="D155" s="276" t="s">
        <v>2489</v>
      </c>
      <c r="E155" s="275" t="s">
        <v>517</v>
      </c>
      <c r="F155" s="276" t="s">
        <v>518</v>
      </c>
      <c r="G155" s="276"/>
      <c r="H155" s="275" t="s">
        <v>466</v>
      </c>
      <c r="I155" s="275" t="s">
        <v>466</v>
      </c>
      <c r="J155" s="218" t="s">
        <v>467</v>
      </c>
      <c r="K155" s="283">
        <v>44568</v>
      </c>
      <c r="L155" s="283">
        <v>44568</v>
      </c>
      <c r="M155" s="283">
        <v>44466</v>
      </c>
      <c r="N155" s="283">
        <v>44463</v>
      </c>
      <c r="O155" s="283">
        <f>IFERROR(IF(VLOOKUP(功能_33[[#This Row],[功能代號]],討論項目!A:H,8,FALSE)=0,"",VLOOKUP(功能_33[[#This Row],[功能代號]],討論項目!A:H,8,FALSE)),"")</f>
        <v>44473</v>
      </c>
      <c r="P155" s="275" t="s">
        <v>7</v>
      </c>
      <c r="Q155" s="275" t="s">
        <v>11</v>
      </c>
      <c r="R155" s="258" t="s">
        <v>25</v>
      </c>
      <c r="V155" s="275"/>
      <c r="X155" s="275"/>
      <c r="Y155" s="275"/>
      <c r="Z155" s="276" t="str">
        <f>VLOOKUP(功能_33[[#This Row],[User]],SKL放款!A:G,7,FALSE)</f>
        <v>放款服務課</v>
      </c>
      <c r="AA155" s="283">
        <v>44489</v>
      </c>
      <c r="AB155" s="283">
        <v>44477</v>
      </c>
      <c r="AC155" s="283">
        <f>IF(功能_33[[#This Row],[URS交二審]]=0,"",功能_33[[#This Row],[URS交二審]]+7)</f>
        <v>44484</v>
      </c>
      <c r="AD155" s="283">
        <f>IF(功能_33[[#This Row],[URS交二審]]=0,"",功能_33[[#This Row],[URS交二審]]+7)</f>
        <v>44484</v>
      </c>
      <c r="AE155" s="283">
        <v>44489</v>
      </c>
      <c r="AF155" s="283"/>
      <c r="AI155" s="283">
        <f>IFERROR(IF(VLOOKUP(功能_33[[#This Row],[功能代號]],E:S,11,FALSE)=0,"",VLOOKUP(功能_33[[#This Row],[功能代號]],E:S,11,FALSE)),"")</f>
        <v>44473</v>
      </c>
      <c r="AJ155" s="283"/>
      <c r="AK155" s="283"/>
      <c r="AL155" s="276"/>
      <c r="AM155" s="283"/>
      <c r="AN155" s="275" t="s">
        <v>2700</v>
      </c>
      <c r="AO155" s="276" t="s">
        <v>2702</v>
      </c>
      <c r="AQ155" s="507" t="str">
        <f t="shared" si="18"/>
        <v>5-5</v>
      </c>
      <c r="AR155" s="509" t="str">
        <f t="shared" si="19"/>
        <v/>
      </c>
      <c r="AS155" s="511" t="str">
        <f t="shared" si="20"/>
        <v/>
      </c>
      <c r="AT155" s="513" t="str">
        <f t="shared" si="21"/>
        <v/>
      </c>
      <c r="AU155" s="515" t="str">
        <f t="shared" si="22"/>
        <v/>
      </c>
      <c r="AV155" s="517" t="str">
        <f t="shared" si="23"/>
        <v/>
      </c>
      <c r="AW155" s="589" t="str">
        <f>IFERROR(VLOOKUP(功能_33[[#This Row],[功能代號]],SIT_FT!D:D,1,FALSE),"")</f>
        <v/>
      </c>
    </row>
    <row r="156" spans="3:49" ht="13.5" hidden="1" x14ac:dyDescent="0.3">
      <c r="C156" s="276" t="s">
        <v>81</v>
      </c>
      <c r="D156" s="276" t="s">
        <v>2485</v>
      </c>
      <c r="E156" s="275" t="s">
        <v>968</v>
      </c>
      <c r="F156" s="276" t="s">
        <v>969</v>
      </c>
      <c r="G156" s="276"/>
      <c r="H156" s="275" t="s">
        <v>179</v>
      </c>
      <c r="I156" s="275" t="s">
        <v>300</v>
      </c>
      <c r="J156" s="282" t="s">
        <v>2774</v>
      </c>
      <c r="K156" s="283">
        <v>44575</v>
      </c>
      <c r="L156" s="283">
        <v>44572</v>
      </c>
      <c r="M156" s="283">
        <v>44504</v>
      </c>
      <c r="N156" s="283">
        <v>44505</v>
      </c>
      <c r="O156" s="283">
        <v>44513</v>
      </c>
      <c r="P156" s="275" t="s">
        <v>8</v>
      </c>
      <c r="Q156" s="275" t="s">
        <v>11</v>
      </c>
      <c r="V156" s="275"/>
      <c r="X156" s="275"/>
      <c r="Y156" s="275"/>
      <c r="Z156" s="276" t="str">
        <f>VLOOKUP(功能_33[[#This Row],[User]],SKL放款!A:G,7,FALSE)</f>
        <v>放款服務課</v>
      </c>
      <c r="AA156" s="283">
        <v>44513</v>
      </c>
      <c r="AB156" s="283" t="s">
        <v>2408</v>
      </c>
      <c r="AC156" s="283">
        <v>44543</v>
      </c>
      <c r="AD156" s="283">
        <v>44543</v>
      </c>
      <c r="AE156" s="283">
        <v>44544</v>
      </c>
      <c r="AF156" s="283"/>
      <c r="AG156" s="283"/>
      <c r="AH156" s="334"/>
      <c r="AI156" s="283">
        <f>IFERROR(IF(VLOOKUP(功能_33[[#This Row],[功能代號]],E:S,11,FALSE)=0,"",VLOOKUP(功能_33[[#This Row],[功能代號]],E:S,11,FALSE)),"")</f>
        <v>44513</v>
      </c>
      <c r="AJ156" s="283"/>
      <c r="AK156" s="283"/>
      <c r="AL156" s="276"/>
      <c r="AM156" s="283"/>
      <c r="AN156" s="287" t="s">
        <v>970</v>
      </c>
      <c r="AO156" s="288" t="s">
        <v>971</v>
      </c>
      <c r="AQ156" s="507" t="str">
        <f t="shared" si="18"/>
        <v>5-1</v>
      </c>
      <c r="AR156" s="509" t="str">
        <f t="shared" si="19"/>
        <v/>
      </c>
      <c r="AS156" s="511" t="str">
        <f t="shared" si="20"/>
        <v/>
      </c>
      <c r="AT156" s="513" t="str">
        <f t="shared" si="21"/>
        <v/>
      </c>
      <c r="AU156" s="515" t="str">
        <f t="shared" si="22"/>
        <v/>
      </c>
      <c r="AV156" s="517" t="str">
        <f t="shared" si="23"/>
        <v/>
      </c>
      <c r="AW156" s="589" t="str">
        <f>IFERROR(VLOOKUP(功能_33[[#This Row],[功能代號]],SIT_FT!D:D,1,FALSE),"")</f>
        <v/>
      </c>
    </row>
    <row r="157" spans="3:49" ht="13.5" hidden="1" x14ac:dyDescent="0.3">
      <c r="C157" s="276" t="s">
        <v>81</v>
      </c>
      <c r="D157" s="276" t="s">
        <v>2485</v>
      </c>
      <c r="E157" s="275" t="s">
        <v>972</v>
      </c>
      <c r="F157" s="276" t="s">
        <v>973</v>
      </c>
      <c r="G157" s="276"/>
      <c r="H157" s="275" t="s">
        <v>179</v>
      </c>
      <c r="I157" s="275" t="s">
        <v>300</v>
      </c>
      <c r="J157" s="282" t="s">
        <v>2774</v>
      </c>
      <c r="K157" s="283">
        <v>44575</v>
      </c>
      <c r="L157" s="283">
        <v>44572</v>
      </c>
      <c r="M157" s="283">
        <v>44504</v>
      </c>
      <c r="N157" s="283">
        <v>44505</v>
      </c>
      <c r="O157" s="283">
        <v>44513</v>
      </c>
      <c r="P157" s="275" t="s">
        <v>8</v>
      </c>
      <c r="Q157" s="275" t="s">
        <v>11</v>
      </c>
      <c r="V157" s="275"/>
      <c r="X157" s="275"/>
      <c r="Y157" s="275"/>
      <c r="Z157" s="276" t="str">
        <f>VLOOKUP(功能_33[[#This Row],[User]],SKL放款!A:G,7,FALSE)</f>
        <v>放款服務課</v>
      </c>
      <c r="AA157" s="283">
        <v>44513</v>
      </c>
      <c r="AB157" s="283" t="s">
        <v>2408</v>
      </c>
      <c r="AC157" s="283">
        <v>44543</v>
      </c>
      <c r="AD157" s="283">
        <v>44543</v>
      </c>
      <c r="AE157" s="283">
        <v>44544</v>
      </c>
      <c r="AF157" s="283"/>
      <c r="AG157" s="283"/>
      <c r="AH157" s="334"/>
      <c r="AI157" s="283">
        <f>IFERROR(IF(VLOOKUP(功能_33[[#This Row],[功能代號]],E:S,11,FALSE)=0,"",VLOOKUP(功能_33[[#This Row],[功能代號]],E:S,11,FALSE)),"")</f>
        <v>44513</v>
      </c>
      <c r="AJ157" s="283"/>
      <c r="AK157" s="283"/>
      <c r="AL157" s="276"/>
      <c r="AM157" s="283"/>
      <c r="AN157" s="287" t="s">
        <v>970</v>
      </c>
      <c r="AO157" s="288" t="s">
        <v>971</v>
      </c>
      <c r="AQ157" s="507" t="str">
        <f t="shared" si="18"/>
        <v>5-1</v>
      </c>
      <c r="AR157" s="509" t="str">
        <f t="shared" si="19"/>
        <v/>
      </c>
      <c r="AS157" s="511" t="str">
        <f t="shared" si="20"/>
        <v/>
      </c>
      <c r="AT157" s="513" t="str">
        <f t="shared" si="21"/>
        <v/>
      </c>
      <c r="AU157" s="515" t="str">
        <f t="shared" si="22"/>
        <v/>
      </c>
      <c r="AV157" s="517" t="str">
        <f t="shared" si="23"/>
        <v/>
      </c>
      <c r="AW157" s="589" t="str">
        <f>IFERROR(VLOOKUP(功能_33[[#This Row],[功能代號]],SIT_FT!D:D,1,FALSE),"")</f>
        <v/>
      </c>
    </row>
    <row r="158" spans="3:49" ht="13.5" hidden="1" x14ac:dyDescent="0.3">
      <c r="C158" s="276" t="s">
        <v>81</v>
      </c>
      <c r="D158" s="276" t="s">
        <v>2485</v>
      </c>
      <c r="E158" s="275" t="s">
        <v>974</v>
      </c>
      <c r="F158" s="276" t="s">
        <v>975</v>
      </c>
      <c r="G158" s="276"/>
      <c r="H158" s="275" t="s">
        <v>179</v>
      </c>
      <c r="I158" s="275" t="s">
        <v>300</v>
      </c>
      <c r="J158" s="282" t="s">
        <v>2774</v>
      </c>
      <c r="K158" s="283">
        <v>44575</v>
      </c>
      <c r="L158" s="283">
        <v>44572</v>
      </c>
      <c r="M158" s="283">
        <v>44504</v>
      </c>
      <c r="N158" s="283">
        <v>44505</v>
      </c>
      <c r="O158" s="283">
        <v>44513</v>
      </c>
      <c r="P158" s="275" t="s">
        <v>8</v>
      </c>
      <c r="Q158" s="275" t="s">
        <v>11</v>
      </c>
      <c r="V158" s="275"/>
      <c r="X158" s="275"/>
      <c r="Y158" s="275"/>
      <c r="Z158" s="276" t="str">
        <f>VLOOKUP(功能_33[[#This Row],[User]],SKL放款!A:G,7,FALSE)</f>
        <v>放款服務課</v>
      </c>
      <c r="AA158" s="283">
        <v>44513</v>
      </c>
      <c r="AB158" s="283" t="s">
        <v>2408</v>
      </c>
      <c r="AC158" s="283">
        <v>44543</v>
      </c>
      <c r="AD158" s="283">
        <v>44543</v>
      </c>
      <c r="AE158" s="283">
        <v>44544</v>
      </c>
      <c r="AF158" s="283"/>
      <c r="AG158" s="283"/>
      <c r="AH158" s="334"/>
      <c r="AI158" s="283">
        <f>IFERROR(IF(VLOOKUP(功能_33[[#This Row],[功能代號]],E:S,11,FALSE)=0,"",VLOOKUP(功能_33[[#This Row],[功能代號]],E:S,11,FALSE)),"")</f>
        <v>44513</v>
      </c>
      <c r="AJ158" s="283"/>
      <c r="AK158" s="283"/>
      <c r="AL158" s="276"/>
      <c r="AM158" s="283"/>
      <c r="AN158" s="287" t="s">
        <v>976</v>
      </c>
      <c r="AO158" s="288" t="s">
        <v>977</v>
      </c>
      <c r="AQ158" s="507" t="str">
        <f t="shared" si="18"/>
        <v>5-1</v>
      </c>
      <c r="AR158" s="509" t="str">
        <f t="shared" si="19"/>
        <v/>
      </c>
      <c r="AS158" s="511" t="str">
        <f t="shared" si="20"/>
        <v/>
      </c>
      <c r="AT158" s="513" t="str">
        <f t="shared" si="21"/>
        <v/>
      </c>
      <c r="AU158" s="515" t="str">
        <f t="shared" si="22"/>
        <v/>
      </c>
      <c r="AV158" s="517" t="str">
        <f t="shared" si="23"/>
        <v/>
      </c>
      <c r="AW158" s="589" t="str">
        <f>IFERROR(VLOOKUP(功能_33[[#This Row],[功能代號]],SIT_FT!D:D,1,FALSE),"")</f>
        <v/>
      </c>
    </row>
    <row r="159" spans="3:49" ht="13.5" hidden="1" x14ac:dyDescent="0.3">
      <c r="C159" s="276" t="s">
        <v>81</v>
      </c>
      <c r="D159" s="276" t="s">
        <v>2484</v>
      </c>
      <c r="E159" s="275" t="s">
        <v>947</v>
      </c>
      <c r="F159" s="258" t="s">
        <v>948</v>
      </c>
      <c r="G159" s="258"/>
      <c r="H159" s="275" t="s">
        <v>179</v>
      </c>
      <c r="I159" s="275" t="s">
        <v>300</v>
      </c>
      <c r="J159" s="282" t="s">
        <v>2774</v>
      </c>
      <c r="K159" s="283">
        <v>44575</v>
      </c>
      <c r="L159" s="283">
        <v>44572</v>
      </c>
      <c r="M159" s="283">
        <v>44503</v>
      </c>
      <c r="N159" s="283">
        <v>44503</v>
      </c>
      <c r="O159" s="283">
        <v>44533</v>
      </c>
      <c r="P159" s="275" t="s">
        <v>8</v>
      </c>
      <c r="Q159" s="275" t="s">
        <v>24</v>
      </c>
      <c r="V159" s="275"/>
      <c r="X159" s="275"/>
      <c r="Y159" s="275"/>
      <c r="Z159" s="276" t="str">
        <f>VLOOKUP(功能_33[[#This Row],[User]],SKL放款!A:G,7,FALSE)</f>
        <v>放款服務課</v>
      </c>
      <c r="AA159" s="283">
        <v>44533</v>
      </c>
      <c r="AB159" s="283" t="s">
        <v>2408</v>
      </c>
      <c r="AC159" s="215" t="s">
        <v>2697</v>
      </c>
      <c r="AD159" s="283">
        <v>44544</v>
      </c>
      <c r="AE159" s="283">
        <v>44544</v>
      </c>
      <c r="AF159" s="283"/>
      <c r="AG159" s="283"/>
      <c r="AH159" s="334"/>
      <c r="AI159" s="283">
        <f>IFERROR(IF(VLOOKUP(功能_33[[#This Row],[功能代號]],E:S,11,FALSE)=0,"",VLOOKUP(功能_33[[#This Row],[功能代號]],E:S,11,FALSE)),"")</f>
        <v>44533</v>
      </c>
      <c r="AJ159" s="283"/>
      <c r="AK159" s="283"/>
      <c r="AL159" s="276"/>
      <c r="AM159" s="283"/>
      <c r="AN159" s="275" t="s">
        <v>176</v>
      </c>
      <c r="AQ159" s="507" t="str">
        <f t="shared" si="18"/>
        <v>5-7</v>
      </c>
      <c r="AR159" s="509" t="str">
        <f t="shared" si="19"/>
        <v/>
      </c>
      <c r="AS159" s="511" t="str">
        <f t="shared" si="20"/>
        <v/>
      </c>
      <c r="AT159" s="513" t="str">
        <f t="shared" si="21"/>
        <v/>
      </c>
      <c r="AU159" s="515" t="str">
        <f t="shared" si="22"/>
        <v/>
      </c>
      <c r="AV159" s="517" t="str">
        <f t="shared" si="23"/>
        <v/>
      </c>
      <c r="AW159" s="589" t="str">
        <f>IFERROR(VLOOKUP(功能_33[[#This Row],[功能代號]],SIT_FT!D:D,1,FALSE),"")</f>
        <v/>
      </c>
    </row>
    <row r="160" spans="3:49" ht="13.5" hidden="1" x14ac:dyDescent="0.3">
      <c r="C160" s="276" t="s">
        <v>81</v>
      </c>
      <c r="D160" s="276" t="s">
        <v>2484</v>
      </c>
      <c r="E160" s="275" t="s">
        <v>949</v>
      </c>
      <c r="F160" s="276" t="s">
        <v>950</v>
      </c>
      <c r="G160" s="276"/>
      <c r="H160" s="275" t="s">
        <v>179</v>
      </c>
      <c r="I160" s="275" t="s">
        <v>300</v>
      </c>
      <c r="J160" s="282" t="s">
        <v>2774</v>
      </c>
      <c r="K160" s="283">
        <v>44575</v>
      </c>
      <c r="L160" s="283">
        <v>44572</v>
      </c>
      <c r="M160" s="283">
        <v>44503</v>
      </c>
      <c r="N160" s="283">
        <v>44503</v>
      </c>
      <c r="O160" s="283">
        <v>44533</v>
      </c>
      <c r="P160" s="275" t="s">
        <v>8</v>
      </c>
      <c r="Q160" s="275" t="s">
        <v>24</v>
      </c>
      <c r="V160" s="275"/>
      <c r="X160" s="275"/>
      <c r="Y160" s="275"/>
      <c r="Z160" s="276" t="str">
        <f>VLOOKUP(功能_33[[#This Row],[User]],SKL放款!A:G,7,FALSE)</f>
        <v>放款服務課</v>
      </c>
      <c r="AA160" s="283">
        <v>44533</v>
      </c>
      <c r="AB160" s="283" t="s">
        <v>2408</v>
      </c>
      <c r="AC160" s="215" t="s">
        <v>2718</v>
      </c>
      <c r="AD160" s="283">
        <v>44544</v>
      </c>
      <c r="AE160" s="283">
        <v>44544</v>
      </c>
      <c r="AF160" s="283"/>
      <c r="AG160" s="283"/>
      <c r="AH160" s="334"/>
      <c r="AI160" s="283">
        <f>IFERROR(IF(VLOOKUP(功能_33[[#This Row],[功能代號]],E:S,11,FALSE)=0,"",VLOOKUP(功能_33[[#This Row],[功能代號]],E:S,11,FALSE)),"")</f>
        <v>44533</v>
      </c>
      <c r="AJ160" s="283"/>
      <c r="AK160" s="283"/>
      <c r="AL160" s="276"/>
      <c r="AM160" s="283"/>
      <c r="AN160" s="275" t="s">
        <v>176</v>
      </c>
      <c r="AQ160" s="507" t="str">
        <f t="shared" si="18"/>
        <v>5-7</v>
      </c>
      <c r="AR160" s="509" t="str">
        <f t="shared" si="19"/>
        <v/>
      </c>
      <c r="AS160" s="511" t="str">
        <f t="shared" si="20"/>
        <v/>
      </c>
      <c r="AT160" s="513" t="str">
        <f t="shared" si="21"/>
        <v/>
      </c>
      <c r="AU160" s="515" t="str">
        <f t="shared" si="22"/>
        <v/>
      </c>
      <c r="AV160" s="517" t="str">
        <f t="shared" si="23"/>
        <v/>
      </c>
      <c r="AW160" s="589" t="str">
        <f>IFERROR(VLOOKUP(功能_33[[#This Row],[功能代號]],SIT_FT!D:D,1,FALSE),"")</f>
        <v/>
      </c>
    </row>
    <row r="161" spans="3:49" ht="13.5" hidden="1" x14ac:dyDescent="0.3">
      <c r="C161" s="276" t="s">
        <v>81</v>
      </c>
      <c r="D161" s="276" t="s">
        <v>2484</v>
      </c>
      <c r="E161" s="275" t="s">
        <v>951</v>
      </c>
      <c r="F161" s="276" t="s">
        <v>952</v>
      </c>
      <c r="G161" s="276"/>
      <c r="H161" s="275" t="s">
        <v>179</v>
      </c>
      <c r="I161" s="275" t="s">
        <v>300</v>
      </c>
      <c r="J161" s="282" t="s">
        <v>2774</v>
      </c>
      <c r="K161" s="283">
        <v>44575</v>
      </c>
      <c r="L161" s="283">
        <v>44572</v>
      </c>
      <c r="M161" s="283">
        <v>44503</v>
      </c>
      <c r="N161" s="283">
        <v>44503</v>
      </c>
      <c r="O161" s="283">
        <v>44533</v>
      </c>
      <c r="P161" s="275" t="s">
        <v>8</v>
      </c>
      <c r="Q161" s="275" t="s">
        <v>24</v>
      </c>
      <c r="V161" s="275"/>
      <c r="X161" s="275"/>
      <c r="Y161" s="275"/>
      <c r="Z161" s="276" t="str">
        <f>VLOOKUP(功能_33[[#This Row],[User]],SKL放款!A:G,7,FALSE)</f>
        <v>放款服務課</v>
      </c>
      <c r="AA161" s="283">
        <v>44533</v>
      </c>
      <c r="AB161" s="283" t="s">
        <v>2408</v>
      </c>
      <c r="AC161" s="215" t="s">
        <v>2697</v>
      </c>
      <c r="AD161" s="283">
        <v>44539</v>
      </c>
      <c r="AE161" s="283">
        <v>44544</v>
      </c>
      <c r="AF161" s="283"/>
      <c r="AG161" s="283"/>
      <c r="AH161" s="334"/>
      <c r="AI161" s="283">
        <f>IFERROR(IF(VLOOKUP(功能_33[[#This Row],[功能代號]],E:S,11,FALSE)=0,"",VLOOKUP(功能_33[[#This Row],[功能代號]],E:S,11,FALSE)),"")</f>
        <v>44533</v>
      </c>
      <c r="AJ161" s="283"/>
      <c r="AK161" s="283"/>
      <c r="AL161" s="276"/>
      <c r="AM161" s="283"/>
      <c r="AN161" s="275" t="s">
        <v>176</v>
      </c>
      <c r="AQ161" s="507" t="str">
        <f t="shared" si="18"/>
        <v>5-7</v>
      </c>
      <c r="AR161" s="509" t="str">
        <f t="shared" si="19"/>
        <v/>
      </c>
      <c r="AS161" s="511" t="str">
        <f t="shared" si="20"/>
        <v/>
      </c>
      <c r="AT161" s="513" t="str">
        <f t="shared" si="21"/>
        <v/>
      </c>
      <c r="AU161" s="515" t="str">
        <f t="shared" si="22"/>
        <v/>
      </c>
      <c r="AV161" s="517" t="str">
        <f t="shared" si="23"/>
        <v/>
      </c>
      <c r="AW161" s="589" t="str">
        <f>IFERROR(VLOOKUP(功能_33[[#This Row],[功能代號]],SIT_FT!D:D,1,FALSE),"")</f>
        <v/>
      </c>
    </row>
    <row r="162" spans="3:49" ht="13.5" hidden="1" x14ac:dyDescent="0.3">
      <c r="C162" s="276" t="s">
        <v>81</v>
      </c>
      <c r="D162" s="276" t="s">
        <v>2484</v>
      </c>
      <c r="E162" s="275" t="s">
        <v>953</v>
      </c>
      <c r="F162" s="276" t="s">
        <v>954</v>
      </c>
      <c r="G162" s="276"/>
      <c r="H162" s="275" t="s">
        <v>179</v>
      </c>
      <c r="I162" s="275" t="s">
        <v>300</v>
      </c>
      <c r="J162" s="282" t="s">
        <v>2774</v>
      </c>
      <c r="K162" s="283">
        <v>44575</v>
      </c>
      <c r="L162" s="283">
        <v>44572</v>
      </c>
      <c r="M162" s="283">
        <v>44503</v>
      </c>
      <c r="N162" s="283">
        <v>44503</v>
      </c>
      <c r="O162" s="283">
        <v>44533</v>
      </c>
      <c r="P162" s="275" t="s">
        <v>8</v>
      </c>
      <c r="Q162" s="275" t="s">
        <v>24</v>
      </c>
      <c r="V162" s="275"/>
      <c r="X162" s="275"/>
      <c r="Y162" s="275"/>
      <c r="Z162" s="276" t="str">
        <f>VLOOKUP(功能_33[[#This Row],[User]],SKL放款!A:G,7,FALSE)</f>
        <v>放款服務課</v>
      </c>
      <c r="AA162" s="283">
        <v>44533</v>
      </c>
      <c r="AB162" s="283" t="s">
        <v>2408</v>
      </c>
      <c r="AC162" s="215" t="s">
        <v>2697</v>
      </c>
      <c r="AD162" s="283">
        <v>44539</v>
      </c>
      <c r="AE162" s="283">
        <v>44544</v>
      </c>
      <c r="AF162" s="283"/>
      <c r="AG162" s="283"/>
      <c r="AH162" s="334"/>
      <c r="AI162" s="283">
        <f>IFERROR(IF(VLOOKUP(功能_33[[#This Row],[功能代號]],E:S,11,FALSE)=0,"",VLOOKUP(功能_33[[#This Row],[功能代號]],E:S,11,FALSE)),"")</f>
        <v>44533</v>
      </c>
      <c r="AJ162" s="283"/>
      <c r="AK162" s="283"/>
      <c r="AL162" s="276"/>
      <c r="AM162" s="283"/>
      <c r="AN162" s="275" t="s">
        <v>176</v>
      </c>
      <c r="AQ162" s="507" t="str">
        <f t="shared" si="18"/>
        <v>5-7</v>
      </c>
      <c r="AR162" s="509" t="str">
        <f t="shared" si="19"/>
        <v/>
      </c>
      <c r="AS162" s="511" t="str">
        <f t="shared" si="20"/>
        <v/>
      </c>
      <c r="AT162" s="513" t="str">
        <f t="shared" si="21"/>
        <v/>
      </c>
      <c r="AU162" s="515" t="str">
        <f t="shared" si="22"/>
        <v/>
      </c>
      <c r="AV162" s="517" t="str">
        <f t="shared" si="23"/>
        <v/>
      </c>
      <c r="AW162" s="589" t="str">
        <f>IFERROR(VLOOKUP(功能_33[[#This Row],[功能代號]],SIT_FT!D:D,1,FALSE),"")</f>
        <v/>
      </c>
    </row>
    <row r="163" spans="3:49" ht="13.5" hidden="1" x14ac:dyDescent="0.3">
      <c r="C163" s="276" t="s">
        <v>82</v>
      </c>
      <c r="D163" s="276" t="s">
        <v>2477</v>
      </c>
      <c r="E163" s="275" t="s">
        <v>401</v>
      </c>
      <c r="F163" s="276" t="s">
        <v>402</v>
      </c>
      <c r="G163" s="276"/>
      <c r="H163" s="275" t="s">
        <v>179</v>
      </c>
      <c r="I163" s="275" t="s">
        <v>300</v>
      </c>
      <c r="J163" s="218" t="s">
        <v>2875</v>
      </c>
      <c r="K163" s="283">
        <v>44574</v>
      </c>
      <c r="L163" s="283">
        <v>44571</v>
      </c>
      <c r="M163" s="283">
        <v>44452</v>
      </c>
      <c r="N163" s="283">
        <v>44452</v>
      </c>
      <c r="O163" s="283">
        <v>44540</v>
      </c>
      <c r="P163" s="275" t="s">
        <v>12</v>
      </c>
      <c r="Q163" s="275" t="s">
        <v>11</v>
      </c>
      <c r="V163" s="275"/>
      <c r="X163" s="275"/>
      <c r="Y163" s="275"/>
      <c r="Z163" s="276" t="str">
        <f>VLOOKUP(功能_33[[#This Row],[User]],SKL放款!A:G,7,FALSE)</f>
        <v>放款服務課</v>
      </c>
      <c r="AA163" s="283">
        <v>44540</v>
      </c>
      <c r="AB163" s="283" t="s">
        <v>119</v>
      </c>
      <c r="AC163" s="283">
        <v>44546</v>
      </c>
      <c r="AD163" s="283">
        <v>44546</v>
      </c>
      <c r="AE163" s="283">
        <v>44550</v>
      </c>
      <c r="AF163" s="283"/>
      <c r="AG163" s="283"/>
      <c r="AH163" s="334"/>
      <c r="AI163" s="283">
        <f>IFERROR(IF(VLOOKUP(功能_33[[#This Row],[功能代號]],E:S,11,FALSE)=0,"",VLOOKUP(功能_33[[#This Row],[功能代號]],E:S,11,FALSE)),"")</f>
        <v>44540</v>
      </c>
      <c r="AJ163" s="283"/>
      <c r="AK163" s="283"/>
      <c r="AL163" s="276"/>
      <c r="AM163" s="217" t="s">
        <v>404</v>
      </c>
      <c r="AN163" s="275" t="s">
        <v>2623</v>
      </c>
      <c r="AQ163" s="507" t="str">
        <f t="shared" si="18"/>
        <v>6-1</v>
      </c>
      <c r="AR163" s="509" t="str">
        <f t="shared" si="19"/>
        <v/>
      </c>
      <c r="AS163" s="511" t="str">
        <f t="shared" si="20"/>
        <v/>
      </c>
      <c r="AT163" s="513" t="str">
        <f t="shared" si="21"/>
        <v/>
      </c>
      <c r="AU163" s="515" t="str">
        <f t="shared" si="22"/>
        <v/>
      </c>
      <c r="AV163" s="517" t="str">
        <f t="shared" si="23"/>
        <v/>
      </c>
      <c r="AW163" s="589" t="str">
        <f>IFERROR(VLOOKUP(功能_33[[#This Row],[功能代號]],SIT_FT!D:D,1,FALSE),"")</f>
        <v>L6101</v>
      </c>
    </row>
    <row r="164" spans="3:49" ht="13.5" hidden="1" x14ac:dyDescent="0.3">
      <c r="C164" s="276" t="s">
        <v>82</v>
      </c>
      <c r="D164" s="219" t="s">
        <v>2477</v>
      </c>
      <c r="E164" s="275" t="s">
        <v>787</v>
      </c>
      <c r="F164" s="276" t="s">
        <v>788</v>
      </c>
      <c r="G164" s="276" t="s">
        <v>789</v>
      </c>
      <c r="H164" s="275" t="s">
        <v>179</v>
      </c>
      <c r="I164" s="275" t="s">
        <v>300</v>
      </c>
      <c r="J164" s="218" t="s">
        <v>2875</v>
      </c>
      <c r="K164" s="283">
        <v>44574</v>
      </c>
      <c r="L164" s="283">
        <v>44571</v>
      </c>
      <c r="M164" s="283">
        <v>44487</v>
      </c>
      <c r="N164" s="283">
        <v>44487</v>
      </c>
      <c r="O164" s="283">
        <v>44494</v>
      </c>
      <c r="P164" s="275" t="s">
        <v>12</v>
      </c>
      <c r="Q164" s="275" t="s">
        <v>11</v>
      </c>
      <c r="V164" s="275"/>
      <c r="X164" s="275"/>
      <c r="Y164" s="275"/>
      <c r="Z164" s="276" t="str">
        <f>VLOOKUP(功能_33[[#This Row],[User]],SKL放款!A:G,7,FALSE)</f>
        <v>放款服務課</v>
      </c>
      <c r="AA164" s="283">
        <v>44494</v>
      </c>
      <c r="AB164" s="283" t="s">
        <v>119</v>
      </c>
      <c r="AC164" s="283">
        <v>44546</v>
      </c>
      <c r="AD164" s="283">
        <v>44546</v>
      </c>
      <c r="AE164" s="283">
        <v>44550</v>
      </c>
      <c r="AF164" s="283"/>
      <c r="AG164" s="283"/>
      <c r="AH164" s="334"/>
      <c r="AI164" s="283">
        <f>IFERROR(IF(VLOOKUP(功能_33[[#This Row],[功能代號]],E:S,11,FALSE)=0,"",VLOOKUP(功能_33[[#This Row],[功能代號]],E:S,11,FALSE)),"")</f>
        <v>44494</v>
      </c>
      <c r="AJ164" s="283"/>
      <c r="AK164" s="283"/>
      <c r="AL164" s="276"/>
      <c r="AN164" s="275" t="s">
        <v>176</v>
      </c>
      <c r="AQ164" s="507" t="str">
        <f t="shared" si="18"/>
        <v>6-1</v>
      </c>
      <c r="AR164" s="509" t="str">
        <f t="shared" si="19"/>
        <v/>
      </c>
      <c r="AS164" s="511" t="str">
        <f t="shared" si="20"/>
        <v/>
      </c>
      <c r="AT164" s="513" t="str">
        <f t="shared" si="21"/>
        <v/>
      </c>
      <c r="AU164" s="515" t="str">
        <f t="shared" si="22"/>
        <v/>
      </c>
      <c r="AV164" s="517" t="str">
        <f t="shared" si="23"/>
        <v/>
      </c>
      <c r="AW164" s="589" t="str">
        <f>IFERROR(VLOOKUP(功能_33[[#This Row],[功能代號]],SIT_FT!D:D,1,FALSE),"")</f>
        <v/>
      </c>
    </row>
    <row r="165" spans="3:49" ht="13.5" hidden="1" x14ac:dyDescent="0.3">
      <c r="C165" s="276" t="s">
        <v>82</v>
      </c>
      <c r="D165" s="431" t="s">
        <v>2477</v>
      </c>
      <c r="E165" s="275" t="s">
        <v>1111</v>
      </c>
      <c r="F165" s="276" t="s">
        <v>1112</v>
      </c>
      <c r="G165" s="276"/>
      <c r="H165" s="275" t="s">
        <v>122</v>
      </c>
      <c r="I165" s="275" t="s">
        <v>300</v>
      </c>
      <c r="J165" s="218" t="s">
        <v>2875</v>
      </c>
      <c r="K165" s="283">
        <v>44574</v>
      </c>
      <c r="L165" s="283">
        <v>44571</v>
      </c>
      <c r="M165" s="283">
        <v>44529</v>
      </c>
      <c r="N165" s="283">
        <v>44529</v>
      </c>
      <c r="O165" s="283">
        <v>44533</v>
      </c>
      <c r="P165" s="275" t="s">
        <v>12</v>
      </c>
      <c r="Q165" s="275" t="s">
        <v>158</v>
      </c>
      <c r="V165" s="275"/>
      <c r="X165" s="275"/>
      <c r="Y165" s="275"/>
      <c r="Z165" s="276" t="str">
        <f>VLOOKUP(功能_33[[#This Row],[User]],SKL放款!A:G,7,FALSE)</f>
        <v>放款服務課</v>
      </c>
      <c r="AA165" s="283">
        <v>44533</v>
      </c>
      <c r="AB165" s="283" t="s">
        <v>2574</v>
      </c>
      <c r="AC165" s="283">
        <v>44533</v>
      </c>
      <c r="AD165" s="283">
        <v>44533</v>
      </c>
      <c r="AE165" s="283">
        <v>44550</v>
      </c>
      <c r="AF165" s="283"/>
      <c r="AG165" s="283"/>
      <c r="AH165" s="334"/>
      <c r="AI165" s="283">
        <f>IFERROR(IF(VLOOKUP(功能_33[[#This Row],[功能代號]],E:S,11,FALSE)=0,"",VLOOKUP(功能_33[[#This Row],[功能代號]],E:S,11,FALSE)),"")</f>
        <v>44533</v>
      </c>
      <c r="AJ165" s="283"/>
      <c r="AK165" s="283"/>
      <c r="AL165" s="276"/>
      <c r="AM165" s="283"/>
      <c r="AN165" s="275" t="s">
        <v>176</v>
      </c>
      <c r="AQ165" s="507" t="str">
        <f t="shared" si="18"/>
        <v>6-1</v>
      </c>
      <c r="AR165" s="509" t="str">
        <f t="shared" si="19"/>
        <v/>
      </c>
      <c r="AS165" s="511" t="str">
        <f t="shared" si="20"/>
        <v/>
      </c>
      <c r="AT165" s="513" t="str">
        <f t="shared" si="21"/>
        <v/>
      </c>
      <c r="AU165" s="515" t="str">
        <f t="shared" si="22"/>
        <v/>
      </c>
      <c r="AV165" s="517" t="str">
        <f t="shared" si="23"/>
        <v/>
      </c>
      <c r="AW165" s="589" t="str">
        <f>IFERROR(VLOOKUP(功能_33[[#This Row],[功能代號]],SIT_FT!D:D,1,FALSE),"")</f>
        <v>L6104</v>
      </c>
    </row>
    <row r="166" spans="3:49" ht="13.5" hidden="1" x14ac:dyDescent="0.3">
      <c r="C166" s="276" t="s">
        <v>82</v>
      </c>
      <c r="D166" s="276" t="s">
        <v>2477</v>
      </c>
      <c r="E166" s="275" t="s">
        <v>1100</v>
      </c>
      <c r="F166" s="276" t="s">
        <v>1101</v>
      </c>
      <c r="G166" s="276"/>
      <c r="H166" s="275" t="s">
        <v>179</v>
      </c>
      <c r="I166" s="275" t="s">
        <v>300</v>
      </c>
      <c r="J166" s="218" t="s">
        <v>2875</v>
      </c>
      <c r="K166" s="283">
        <v>44574</v>
      </c>
      <c r="L166" s="283">
        <v>44571</v>
      </c>
      <c r="M166" s="283">
        <v>44529</v>
      </c>
      <c r="N166" s="283">
        <v>44533</v>
      </c>
      <c r="O166" s="283">
        <v>44533</v>
      </c>
      <c r="P166" s="275" t="s">
        <v>12</v>
      </c>
      <c r="Q166" s="275" t="s">
        <v>158</v>
      </c>
      <c r="V166" s="275"/>
      <c r="X166" s="275"/>
      <c r="Y166" s="275"/>
      <c r="Z166" s="276" t="str">
        <f>VLOOKUP(功能_33[[#This Row],[User]],SKL放款!A:G,7,FALSE)</f>
        <v>放款服務課</v>
      </c>
      <c r="AA166" s="283">
        <v>44533</v>
      </c>
      <c r="AB166" s="283" t="s">
        <v>2574</v>
      </c>
      <c r="AC166" s="283">
        <v>44533</v>
      </c>
      <c r="AD166" s="283">
        <v>44533</v>
      </c>
      <c r="AE166" s="283">
        <v>44550</v>
      </c>
      <c r="AF166" s="283"/>
      <c r="AG166" s="283"/>
      <c r="AH166" s="334"/>
      <c r="AI166" s="283">
        <f>IFERROR(IF(VLOOKUP(功能_33[[#This Row],[功能代號]],E:S,11,FALSE)=0,"",VLOOKUP(功能_33[[#This Row],[功能代號]],E:S,11,FALSE)),"")</f>
        <v>44533</v>
      </c>
      <c r="AJ166" s="283"/>
      <c r="AK166" s="283"/>
      <c r="AL166" s="276"/>
      <c r="AM166" s="283"/>
      <c r="AN166" s="275" t="s">
        <v>176</v>
      </c>
      <c r="AQ166" s="507" t="str">
        <f t="shared" si="18"/>
        <v>6-1</v>
      </c>
      <c r="AR166" s="509" t="str">
        <f t="shared" si="19"/>
        <v/>
      </c>
      <c r="AS166" s="511" t="str">
        <f t="shared" si="20"/>
        <v/>
      </c>
      <c r="AT166" s="513" t="str">
        <f t="shared" si="21"/>
        <v/>
      </c>
      <c r="AU166" s="515" t="str">
        <f t="shared" si="22"/>
        <v/>
      </c>
      <c r="AV166" s="517" t="str">
        <f t="shared" si="23"/>
        <v/>
      </c>
      <c r="AW166" s="589" t="str">
        <f>IFERROR(VLOOKUP(功能_33[[#This Row],[功能代號]],SIT_FT!D:D,1,FALSE),"")</f>
        <v>L6103</v>
      </c>
    </row>
    <row r="167" spans="3:49" ht="13.5" hidden="1" x14ac:dyDescent="0.3">
      <c r="C167" s="276" t="s">
        <v>82</v>
      </c>
      <c r="D167" s="276" t="s">
        <v>2478</v>
      </c>
      <c r="E167" s="275" t="s">
        <v>766</v>
      </c>
      <c r="F167" s="276" t="s">
        <v>767</v>
      </c>
      <c r="G167" s="276"/>
      <c r="H167" s="275" t="s">
        <v>179</v>
      </c>
      <c r="I167" s="275" t="s">
        <v>300</v>
      </c>
      <c r="J167" s="218" t="s">
        <v>403</v>
      </c>
      <c r="K167" s="283">
        <v>44574</v>
      </c>
      <c r="L167" s="283">
        <v>44571</v>
      </c>
      <c r="M167" s="283">
        <v>44487</v>
      </c>
      <c r="N167" s="283">
        <v>44487</v>
      </c>
      <c r="O167" s="283">
        <v>44487</v>
      </c>
      <c r="P167" s="275" t="s">
        <v>12</v>
      </c>
      <c r="Q167" s="275" t="s">
        <v>158</v>
      </c>
      <c r="V167" s="275"/>
      <c r="X167" s="275"/>
      <c r="Y167" s="275"/>
      <c r="Z167" s="276" t="str">
        <f>VLOOKUP(功能_33[[#This Row],[User]],SKL放款!A:G,7,FALSE)</f>
        <v>放款服務課</v>
      </c>
      <c r="AA167" s="283">
        <v>44533</v>
      </c>
      <c r="AB167" s="283" t="s">
        <v>181</v>
      </c>
      <c r="AC167" s="283">
        <v>44529</v>
      </c>
      <c r="AD167" s="283">
        <v>44529</v>
      </c>
      <c r="AE167" s="283">
        <v>44544</v>
      </c>
      <c r="AF167" s="283"/>
      <c r="AG167" s="283"/>
      <c r="AH167" s="334"/>
      <c r="AI167" s="283">
        <f>IFERROR(IF(VLOOKUP(功能_33[[#This Row],[功能代號]],E:S,11,FALSE)=0,"",VLOOKUP(功能_33[[#This Row],[功能代號]],E:S,11,FALSE)),"")</f>
        <v>44487</v>
      </c>
      <c r="AJ167" s="283"/>
      <c r="AK167" s="283"/>
      <c r="AL167" s="276"/>
      <c r="AM167" s="283"/>
      <c r="AN167" s="287" t="s">
        <v>768</v>
      </c>
      <c r="AO167" s="288" t="s">
        <v>769</v>
      </c>
      <c r="AQ167" s="507" t="str">
        <f t="shared" si="18"/>
        <v>6-2</v>
      </c>
      <c r="AR167" s="509" t="str">
        <f t="shared" si="19"/>
        <v/>
      </c>
      <c r="AS167" s="511" t="str">
        <f t="shared" si="20"/>
        <v/>
      </c>
      <c r="AT167" s="513" t="str">
        <f t="shared" si="21"/>
        <v/>
      </c>
      <c r="AU167" s="515" t="str">
        <f t="shared" si="22"/>
        <v/>
      </c>
      <c r="AV167" s="517" t="str">
        <f t="shared" si="23"/>
        <v/>
      </c>
      <c r="AW167" s="589" t="str">
        <f>IFERROR(VLOOKUP(功能_33[[#This Row],[功能代號]],SIT_FT!D:D,1,FALSE),"")</f>
        <v>L6201</v>
      </c>
    </row>
    <row r="168" spans="3:49" ht="13.5" hidden="1" x14ac:dyDescent="0.3">
      <c r="C168" s="276" t="s">
        <v>82</v>
      </c>
      <c r="D168" s="276" t="s">
        <v>2478</v>
      </c>
      <c r="E168" s="275" t="s">
        <v>770</v>
      </c>
      <c r="F168" s="276" t="s">
        <v>771</v>
      </c>
      <c r="G168" s="276"/>
      <c r="H168" s="275" t="s">
        <v>179</v>
      </c>
      <c r="I168" s="275" t="s">
        <v>300</v>
      </c>
      <c r="J168" s="218" t="s">
        <v>403</v>
      </c>
      <c r="K168" s="283">
        <v>44573</v>
      </c>
      <c r="L168" s="283">
        <v>44571</v>
      </c>
      <c r="M168" s="283">
        <v>44487</v>
      </c>
      <c r="N168" s="283">
        <v>44487</v>
      </c>
      <c r="O168" s="283">
        <v>44487</v>
      </c>
      <c r="P168" s="275" t="s">
        <v>12</v>
      </c>
      <c r="Q168" s="275" t="s">
        <v>11</v>
      </c>
      <c r="V168" s="275"/>
      <c r="X168" s="275"/>
      <c r="Y168" s="275"/>
      <c r="Z168" s="276" t="str">
        <f>VLOOKUP(功能_33[[#This Row],[User]],SKL放款!A:G,7,FALSE)</f>
        <v>放款服務課</v>
      </c>
      <c r="AA168" s="283">
        <v>44533</v>
      </c>
      <c r="AB168" s="283" t="s">
        <v>181</v>
      </c>
      <c r="AC168" s="283">
        <v>44529</v>
      </c>
      <c r="AD168" s="283">
        <v>44529</v>
      </c>
      <c r="AE168" s="283">
        <v>44544</v>
      </c>
      <c r="AF168" s="283"/>
      <c r="AG168" s="283"/>
      <c r="AH168" s="334"/>
      <c r="AI168" s="283">
        <f>IFERROR(IF(VLOOKUP(功能_33[[#This Row],[功能代號]],E:S,11,FALSE)=0,"",VLOOKUP(功能_33[[#This Row],[功能代號]],E:S,11,FALSE)),"")</f>
        <v>44487</v>
      </c>
      <c r="AJ168" s="283"/>
      <c r="AK168" s="283"/>
      <c r="AL168" s="276"/>
      <c r="AM168" s="283"/>
      <c r="AN168" s="275" t="s">
        <v>176</v>
      </c>
      <c r="AQ168" s="507" t="str">
        <f t="shared" si="18"/>
        <v>6-2</v>
      </c>
      <c r="AR168" s="509" t="str">
        <f t="shared" si="19"/>
        <v/>
      </c>
      <c r="AS168" s="511" t="str">
        <f t="shared" si="20"/>
        <v/>
      </c>
      <c r="AT168" s="513" t="str">
        <f t="shared" si="21"/>
        <v/>
      </c>
      <c r="AU168" s="515" t="str">
        <f t="shared" si="22"/>
        <v/>
      </c>
      <c r="AV168" s="517" t="str">
        <f t="shared" si="23"/>
        <v/>
      </c>
      <c r="AW168" s="589" t="str">
        <f>IFERROR(VLOOKUP(功能_33[[#This Row],[功能代號]],SIT_FT!D:D,1,FALSE),"")</f>
        <v>L6901</v>
      </c>
    </row>
    <row r="169" spans="3:49" ht="13.5" hidden="1" x14ac:dyDescent="0.3">
      <c r="C169" s="276" t="s">
        <v>82</v>
      </c>
      <c r="D169" s="276" t="s">
        <v>2478</v>
      </c>
      <c r="E169" s="275" t="s">
        <v>772</v>
      </c>
      <c r="F169" s="276" t="s">
        <v>773</v>
      </c>
      <c r="G169" s="276"/>
      <c r="H169" s="275" t="s">
        <v>179</v>
      </c>
      <c r="I169" s="275" t="s">
        <v>300</v>
      </c>
      <c r="J169" s="218" t="s">
        <v>403</v>
      </c>
      <c r="K169" s="283">
        <v>44573</v>
      </c>
      <c r="L169" s="283">
        <v>44571</v>
      </c>
      <c r="M169" s="283">
        <v>44487</v>
      </c>
      <c r="N169" s="283">
        <v>44487</v>
      </c>
      <c r="O169" s="283">
        <v>44487</v>
      </c>
      <c r="P169" s="275" t="s">
        <v>12</v>
      </c>
      <c r="Q169" s="275" t="s">
        <v>11</v>
      </c>
      <c r="V169" s="275"/>
      <c r="X169" s="275"/>
      <c r="Y169" s="275"/>
      <c r="Z169" s="276" t="str">
        <f>VLOOKUP(功能_33[[#This Row],[User]],SKL放款!A:G,7,FALSE)</f>
        <v>放款服務課</v>
      </c>
      <c r="AA169" s="283">
        <v>44533</v>
      </c>
      <c r="AB169" s="283" t="s">
        <v>181</v>
      </c>
      <c r="AC169" s="283">
        <v>44529</v>
      </c>
      <c r="AD169" s="283">
        <v>44529</v>
      </c>
      <c r="AE169" s="283">
        <v>44544</v>
      </c>
      <c r="AF169" s="283"/>
      <c r="AG169" s="283"/>
      <c r="AH169" s="334"/>
      <c r="AI169" s="283">
        <f>IFERROR(IF(VLOOKUP(功能_33[[#This Row],[功能代號]],E:S,11,FALSE)=0,"",VLOOKUP(功能_33[[#This Row],[功能代號]],E:S,11,FALSE)),"")</f>
        <v>44487</v>
      </c>
      <c r="AJ169" s="283"/>
      <c r="AK169" s="283"/>
      <c r="AL169" s="276"/>
      <c r="AM169" s="283"/>
      <c r="AN169" s="275" t="s">
        <v>176</v>
      </c>
      <c r="AQ169" s="507" t="str">
        <f t="shared" si="18"/>
        <v>6-2</v>
      </c>
      <c r="AR169" s="509" t="str">
        <f t="shared" si="19"/>
        <v/>
      </c>
      <c r="AS169" s="511" t="str">
        <f t="shared" si="20"/>
        <v/>
      </c>
      <c r="AT169" s="513" t="str">
        <f t="shared" si="21"/>
        <v/>
      </c>
      <c r="AU169" s="515" t="str">
        <f t="shared" si="22"/>
        <v/>
      </c>
      <c r="AV169" s="517" t="str">
        <f t="shared" si="23"/>
        <v/>
      </c>
      <c r="AW169" s="589" t="str">
        <f>IFERROR(VLOOKUP(功能_33[[#This Row],[功能代號]],SIT_FT!D:D,1,FALSE),"")</f>
        <v>L6902</v>
      </c>
    </row>
    <row r="170" spans="3:49" ht="13.5" hidden="1" x14ac:dyDescent="0.3">
      <c r="C170" s="276" t="s">
        <v>82</v>
      </c>
      <c r="D170" s="276" t="s">
        <v>2478</v>
      </c>
      <c r="E170" s="275" t="s">
        <v>774</v>
      </c>
      <c r="F170" s="276" t="s">
        <v>775</v>
      </c>
      <c r="G170" s="276"/>
      <c r="H170" s="275" t="s">
        <v>179</v>
      </c>
      <c r="I170" s="275" t="s">
        <v>300</v>
      </c>
      <c r="J170" s="218" t="s">
        <v>403</v>
      </c>
      <c r="K170" s="283">
        <v>44573</v>
      </c>
      <c r="L170" s="283">
        <v>44571</v>
      </c>
      <c r="M170" s="283">
        <v>44487</v>
      </c>
      <c r="N170" s="283">
        <v>44487</v>
      </c>
      <c r="O170" s="283">
        <v>44487</v>
      </c>
      <c r="P170" s="275" t="s">
        <v>12</v>
      </c>
      <c r="Q170" s="275" t="s">
        <v>158</v>
      </c>
      <c r="V170" s="275"/>
      <c r="X170" s="275"/>
      <c r="Y170" s="275"/>
      <c r="Z170" s="276" t="str">
        <f>VLOOKUP(功能_33[[#This Row],[User]],SKL放款!A:G,7,FALSE)</f>
        <v>放款服務課</v>
      </c>
      <c r="AA170" s="283">
        <v>44533</v>
      </c>
      <c r="AB170" s="283" t="s">
        <v>181</v>
      </c>
      <c r="AC170" s="283">
        <v>44529</v>
      </c>
      <c r="AD170" s="283">
        <v>44529</v>
      </c>
      <c r="AE170" s="283">
        <v>44544</v>
      </c>
      <c r="AF170" s="283"/>
      <c r="AG170" s="283"/>
      <c r="AH170" s="334"/>
      <c r="AI170" s="283">
        <f>IFERROR(IF(VLOOKUP(功能_33[[#This Row],[功能代號]],E:S,11,FALSE)=0,"",VLOOKUP(功能_33[[#This Row],[功能代號]],E:S,11,FALSE)),"")</f>
        <v>44487</v>
      </c>
      <c r="AJ170" s="283"/>
      <c r="AK170" s="283"/>
      <c r="AL170" s="276"/>
      <c r="AM170" s="283"/>
      <c r="AN170" s="275" t="s">
        <v>176</v>
      </c>
      <c r="AQ170" s="507" t="str">
        <f t="shared" si="18"/>
        <v>6-2</v>
      </c>
      <c r="AR170" s="509" t="str">
        <f t="shared" si="19"/>
        <v/>
      </c>
      <c r="AS170" s="511" t="str">
        <f t="shared" si="20"/>
        <v/>
      </c>
      <c r="AT170" s="513" t="str">
        <f t="shared" si="21"/>
        <v/>
      </c>
      <c r="AU170" s="515" t="str">
        <f t="shared" si="22"/>
        <v/>
      </c>
      <c r="AV170" s="517" t="str">
        <f t="shared" si="23"/>
        <v/>
      </c>
      <c r="AW170" s="589" t="str">
        <f>IFERROR(VLOOKUP(功能_33[[#This Row],[功能代號]],SIT_FT!D:D,1,FALSE),"")</f>
        <v>L6903</v>
      </c>
    </row>
    <row r="171" spans="3:49" ht="40.5" hidden="1" x14ac:dyDescent="0.3">
      <c r="C171" s="276" t="s">
        <v>82</v>
      </c>
      <c r="D171" s="276" t="s">
        <v>2478</v>
      </c>
      <c r="E171" s="275" t="s">
        <v>776</v>
      </c>
      <c r="F171" s="276" t="s">
        <v>777</v>
      </c>
      <c r="G171" s="276"/>
      <c r="H171" s="275" t="s">
        <v>179</v>
      </c>
      <c r="I171" s="275" t="s">
        <v>300</v>
      </c>
      <c r="J171" s="218" t="s">
        <v>403</v>
      </c>
      <c r="K171" s="283">
        <v>44573</v>
      </c>
      <c r="L171" s="283">
        <v>44571</v>
      </c>
      <c r="M171" s="283">
        <v>44487</v>
      </c>
      <c r="N171" s="283">
        <v>44487</v>
      </c>
      <c r="O171" s="283">
        <v>44487</v>
      </c>
      <c r="P171" s="275" t="s">
        <v>12</v>
      </c>
      <c r="Q171" s="275" t="s">
        <v>11</v>
      </c>
      <c r="V171" s="275"/>
      <c r="X171" s="275"/>
      <c r="Y171" s="275"/>
      <c r="Z171" s="276" t="str">
        <f>VLOOKUP(功能_33[[#This Row],[User]],SKL放款!A:G,7,FALSE)</f>
        <v>放款服務課</v>
      </c>
      <c r="AA171" s="283">
        <v>44533</v>
      </c>
      <c r="AB171" s="283" t="s">
        <v>181</v>
      </c>
      <c r="AC171" s="283">
        <v>44529</v>
      </c>
      <c r="AD171" s="283">
        <v>44529</v>
      </c>
      <c r="AE171" s="283">
        <v>44544</v>
      </c>
      <c r="AF171" s="283"/>
      <c r="AG171" s="283"/>
      <c r="AH171" s="334"/>
      <c r="AI171" s="283">
        <f>IFERROR(IF(VLOOKUP(功能_33[[#This Row],[功能代號]],E:S,11,FALSE)=0,"",VLOOKUP(功能_33[[#This Row],[功能代號]],E:S,11,FALSE)),"")</f>
        <v>44487</v>
      </c>
      <c r="AJ171" s="283"/>
      <c r="AK171" s="283"/>
      <c r="AL171" s="276"/>
      <c r="AM171" s="283"/>
      <c r="AN171" s="292" t="s">
        <v>2694</v>
      </c>
      <c r="AO171" s="212" t="s">
        <v>2695</v>
      </c>
      <c r="AQ171" s="507" t="str">
        <f t="shared" si="18"/>
        <v>6-2</v>
      </c>
      <c r="AR171" s="509" t="str">
        <f t="shared" si="19"/>
        <v/>
      </c>
      <c r="AS171" s="511" t="str">
        <f t="shared" si="20"/>
        <v/>
      </c>
      <c r="AT171" s="513" t="str">
        <f t="shared" si="21"/>
        <v/>
      </c>
      <c r="AU171" s="515" t="str">
        <f t="shared" si="22"/>
        <v/>
      </c>
      <c r="AV171" s="517" t="str">
        <f t="shared" si="23"/>
        <v/>
      </c>
      <c r="AW171" s="589" t="str">
        <f>IFERROR(VLOOKUP(功能_33[[#This Row],[功能代號]],SIT_FT!D:D,1,FALSE),"")</f>
        <v>L6904</v>
      </c>
    </row>
    <row r="172" spans="3:49" ht="13.5" hidden="1" x14ac:dyDescent="0.3">
      <c r="C172" s="276" t="s">
        <v>82</v>
      </c>
      <c r="D172" s="276" t="s">
        <v>2478</v>
      </c>
      <c r="E172" s="275" t="s">
        <v>778</v>
      </c>
      <c r="F172" s="276" t="s">
        <v>779</v>
      </c>
      <c r="G172" s="276"/>
      <c r="H172" s="275" t="s">
        <v>179</v>
      </c>
      <c r="I172" s="275" t="s">
        <v>300</v>
      </c>
      <c r="J172" s="218" t="s">
        <v>403</v>
      </c>
      <c r="K172" s="283">
        <v>44573</v>
      </c>
      <c r="L172" s="283">
        <v>44571</v>
      </c>
      <c r="M172" s="283">
        <v>44487</v>
      </c>
      <c r="N172" s="283">
        <v>44487</v>
      </c>
      <c r="O172" s="283">
        <v>44494</v>
      </c>
      <c r="P172" s="275" t="s">
        <v>12</v>
      </c>
      <c r="Q172" s="275" t="s">
        <v>11</v>
      </c>
      <c r="V172" s="275"/>
      <c r="X172" s="275"/>
      <c r="Y172" s="275"/>
      <c r="Z172" s="276" t="str">
        <f>VLOOKUP(功能_33[[#This Row],[User]],SKL放款!A:G,7,FALSE)</f>
        <v>放款服務課</v>
      </c>
      <c r="AA172" s="283">
        <v>44494</v>
      </c>
      <c r="AB172" s="283" t="s">
        <v>119</v>
      </c>
      <c r="AC172" s="283" t="s">
        <v>2605</v>
      </c>
      <c r="AD172" s="283">
        <v>44544</v>
      </c>
      <c r="AE172" s="283">
        <v>44544</v>
      </c>
      <c r="AF172" s="283"/>
      <c r="AG172" s="283"/>
      <c r="AH172" s="334"/>
      <c r="AI172" s="283">
        <f>IFERROR(IF(VLOOKUP(功能_33[[#This Row],[功能代號]],E:S,11,FALSE)=0,"",VLOOKUP(功能_33[[#This Row],[功能代號]],E:S,11,FALSE)),"")</f>
        <v>44494</v>
      </c>
      <c r="AJ172" s="283"/>
      <c r="AK172" s="283"/>
      <c r="AL172" s="276"/>
      <c r="AM172" s="217" t="s">
        <v>780</v>
      </c>
      <c r="AN172" s="275" t="s">
        <v>176</v>
      </c>
      <c r="AQ172" s="507" t="str">
        <f t="shared" si="18"/>
        <v>6-2</v>
      </c>
      <c r="AR172" s="509" t="str">
        <f t="shared" si="19"/>
        <v/>
      </c>
      <c r="AS172" s="511" t="str">
        <f t="shared" si="20"/>
        <v/>
      </c>
      <c r="AT172" s="513" t="str">
        <f t="shared" si="21"/>
        <v/>
      </c>
      <c r="AU172" s="515" t="str">
        <f t="shared" si="22"/>
        <v/>
      </c>
      <c r="AV172" s="517" t="str">
        <f t="shared" si="23"/>
        <v/>
      </c>
      <c r="AW172" s="589" t="str">
        <f>IFERROR(VLOOKUP(功能_33[[#This Row],[功能代號]],SIT_FT!D:D,1,FALSE),"")</f>
        <v>L6905</v>
      </c>
    </row>
    <row r="173" spans="3:49" ht="13.5" hidden="1" x14ac:dyDescent="0.3">
      <c r="C173" s="276" t="s">
        <v>82</v>
      </c>
      <c r="D173" s="276" t="s">
        <v>2478</v>
      </c>
      <c r="E173" s="275" t="s">
        <v>781</v>
      </c>
      <c r="F173" s="276" t="s">
        <v>782</v>
      </c>
      <c r="G173" s="276"/>
      <c r="H173" s="275" t="s">
        <v>179</v>
      </c>
      <c r="I173" s="275" t="s">
        <v>300</v>
      </c>
      <c r="J173" s="218" t="s">
        <v>403</v>
      </c>
      <c r="K173" s="283">
        <v>44573</v>
      </c>
      <c r="L173" s="283">
        <v>44571</v>
      </c>
      <c r="M173" s="283">
        <v>44487</v>
      </c>
      <c r="N173" s="283">
        <v>44487</v>
      </c>
      <c r="O173" s="283">
        <v>44487</v>
      </c>
      <c r="P173" s="275" t="s">
        <v>12</v>
      </c>
      <c r="Q173" s="275" t="s">
        <v>158</v>
      </c>
      <c r="V173" s="275"/>
      <c r="X173" s="275"/>
      <c r="Y173" s="275"/>
      <c r="Z173" s="276" t="str">
        <f>VLOOKUP(功能_33[[#This Row],[User]],SKL放款!A:G,7,FALSE)</f>
        <v>放款服務課</v>
      </c>
      <c r="AA173" s="283">
        <v>44533</v>
      </c>
      <c r="AB173" s="283" t="s">
        <v>181</v>
      </c>
      <c r="AC173" s="283">
        <v>44529</v>
      </c>
      <c r="AD173" s="283">
        <v>44529</v>
      </c>
      <c r="AE173" s="283">
        <v>44544</v>
      </c>
      <c r="AF173" s="283"/>
      <c r="AG173" s="283"/>
      <c r="AH173" s="334"/>
      <c r="AI173" s="283">
        <f>IFERROR(IF(VLOOKUP(功能_33[[#This Row],[功能代號]],E:S,11,FALSE)=0,"",VLOOKUP(功能_33[[#This Row],[功能代號]],E:S,11,FALSE)),"")</f>
        <v>44487</v>
      </c>
      <c r="AJ173" s="283"/>
      <c r="AK173" s="283"/>
      <c r="AL173" s="276"/>
      <c r="AM173" s="283"/>
      <c r="AN173" s="275" t="s">
        <v>176</v>
      </c>
      <c r="AQ173" s="507" t="str">
        <f t="shared" si="18"/>
        <v>6-2</v>
      </c>
      <c r="AR173" s="509" t="str">
        <f t="shared" si="19"/>
        <v/>
      </c>
      <c r="AS173" s="511" t="str">
        <f t="shared" si="20"/>
        <v/>
      </c>
      <c r="AT173" s="513" t="str">
        <f t="shared" si="21"/>
        <v/>
      </c>
      <c r="AU173" s="515" t="str">
        <f t="shared" si="22"/>
        <v/>
      </c>
      <c r="AV173" s="517" t="str">
        <f t="shared" si="23"/>
        <v/>
      </c>
      <c r="AW173" s="589" t="str">
        <f>IFERROR(VLOOKUP(功能_33[[#This Row],[功能代號]],SIT_FT!D:D,1,FALSE),"")</f>
        <v>L6906</v>
      </c>
    </row>
    <row r="174" spans="3:49" ht="13.5" hidden="1" x14ac:dyDescent="0.3">
      <c r="C174" s="276" t="s">
        <v>82</v>
      </c>
      <c r="D174" s="276" t="s">
        <v>2478</v>
      </c>
      <c r="E174" s="275" t="s">
        <v>783</v>
      </c>
      <c r="F174" s="276" t="s">
        <v>784</v>
      </c>
      <c r="G174" s="276"/>
      <c r="H174" s="275" t="s">
        <v>179</v>
      </c>
      <c r="I174" s="275" t="s">
        <v>300</v>
      </c>
      <c r="J174" s="218" t="s">
        <v>403</v>
      </c>
      <c r="K174" s="283">
        <v>44573</v>
      </c>
      <c r="L174" s="283">
        <v>44571</v>
      </c>
      <c r="M174" s="283">
        <v>44487</v>
      </c>
      <c r="N174" s="283">
        <v>44487</v>
      </c>
      <c r="O174" s="283">
        <v>44487</v>
      </c>
      <c r="P174" s="275" t="s">
        <v>7</v>
      </c>
      <c r="Q174" s="275" t="s">
        <v>11</v>
      </c>
      <c r="V174" s="275"/>
      <c r="X174" s="275"/>
      <c r="Y174" s="275"/>
      <c r="Z174" s="276" t="str">
        <f>VLOOKUP(功能_33[[#This Row],[User]],SKL放款!A:G,7,FALSE)</f>
        <v>放款服務課</v>
      </c>
      <c r="AA174" s="283">
        <v>44533</v>
      </c>
      <c r="AB174" s="283" t="s">
        <v>181</v>
      </c>
      <c r="AC174" s="283">
        <v>44529</v>
      </c>
      <c r="AD174" s="283">
        <v>44529</v>
      </c>
      <c r="AE174" s="283">
        <v>44544</v>
      </c>
      <c r="AF174" s="283"/>
      <c r="AG174" s="283"/>
      <c r="AH174" s="334"/>
      <c r="AI174" s="283">
        <f>IFERROR(IF(VLOOKUP(功能_33[[#This Row],[功能代號]],E:S,11,FALSE)=0,"",VLOOKUP(功能_33[[#This Row],[功能代號]],E:S,11,FALSE)),"")</f>
        <v>44487</v>
      </c>
      <c r="AJ174" s="283"/>
      <c r="AK174" s="283"/>
      <c r="AL174" s="276"/>
      <c r="AM174" s="283"/>
      <c r="AN174" s="275" t="s">
        <v>176</v>
      </c>
      <c r="AQ174" s="507" t="str">
        <f t="shared" si="18"/>
        <v>6-2</v>
      </c>
      <c r="AR174" s="509" t="str">
        <f t="shared" si="19"/>
        <v/>
      </c>
      <c r="AS174" s="511" t="str">
        <f t="shared" si="20"/>
        <v/>
      </c>
      <c r="AT174" s="513" t="str">
        <f t="shared" si="21"/>
        <v/>
      </c>
      <c r="AU174" s="515" t="str">
        <f t="shared" si="22"/>
        <v/>
      </c>
      <c r="AV174" s="517" t="str">
        <f t="shared" si="23"/>
        <v/>
      </c>
      <c r="AW174" s="589" t="str">
        <f>IFERROR(VLOOKUP(功能_33[[#This Row],[功能代號]],SIT_FT!D:D,1,FALSE),"")</f>
        <v>L6907</v>
      </c>
    </row>
    <row r="175" spans="3:49" ht="13.5" hidden="1" x14ac:dyDescent="0.3">
      <c r="C175" s="276" t="s">
        <v>82</v>
      </c>
      <c r="D175" s="276" t="s">
        <v>2478</v>
      </c>
      <c r="E175" s="275" t="s">
        <v>785</v>
      </c>
      <c r="F175" s="276" t="s">
        <v>786</v>
      </c>
      <c r="G175" s="276"/>
      <c r="H175" s="275" t="s">
        <v>179</v>
      </c>
      <c r="I175" s="275" t="s">
        <v>300</v>
      </c>
      <c r="J175" s="218" t="s">
        <v>403</v>
      </c>
      <c r="K175" s="283">
        <v>44573</v>
      </c>
      <c r="L175" s="283">
        <v>44571</v>
      </c>
      <c r="M175" s="283">
        <v>44487</v>
      </c>
      <c r="N175" s="283">
        <v>44487</v>
      </c>
      <c r="O175" s="283">
        <v>44494</v>
      </c>
      <c r="P175" s="275" t="s">
        <v>12</v>
      </c>
      <c r="Q175" s="275" t="s">
        <v>11</v>
      </c>
      <c r="V175" s="275"/>
      <c r="X175" s="275"/>
      <c r="Y175" s="275"/>
      <c r="Z175" s="276" t="str">
        <f>VLOOKUP(功能_33[[#This Row],[User]],SKL放款!A:G,7,FALSE)</f>
        <v>放款服務課</v>
      </c>
      <c r="AA175" s="283">
        <v>44494</v>
      </c>
      <c r="AB175" s="283" t="s">
        <v>119</v>
      </c>
      <c r="AC175" s="283" t="s">
        <v>2605</v>
      </c>
      <c r="AD175" s="283">
        <v>44544</v>
      </c>
      <c r="AE175" s="283">
        <v>44544</v>
      </c>
      <c r="AF175" s="283"/>
      <c r="AG175" s="283"/>
      <c r="AH175" s="334"/>
      <c r="AI175" s="283">
        <f>IFERROR(IF(VLOOKUP(功能_33[[#This Row],[功能代號]],E:S,11,FALSE)=0,"",VLOOKUP(功能_33[[#This Row],[功能代號]],E:S,11,FALSE)),"")</f>
        <v>44494</v>
      </c>
      <c r="AJ175" s="283"/>
      <c r="AK175" s="283"/>
      <c r="AL175" s="276"/>
      <c r="AM175" s="217" t="s">
        <v>780</v>
      </c>
      <c r="AN175" s="275" t="s">
        <v>176</v>
      </c>
      <c r="AQ175" s="507" t="str">
        <f t="shared" si="18"/>
        <v>6-2</v>
      </c>
      <c r="AR175" s="509" t="str">
        <f t="shared" si="19"/>
        <v/>
      </c>
      <c r="AS175" s="511" t="str">
        <f t="shared" si="20"/>
        <v/>
      </c>
      <c r="AT175" s="513" t="str">
        <f t="shared" si="21"/>
        <v/>
      </c>
      <c r="AU175" s="515" t="str">
        <f t="shared" si="22"/>
        <v/>
      </c>
      <c r="AV175" s="517" t="str">
        <f t="shared" si="23"/>
        <v/>
      </c>
      <c r="AW175" s="589" t="str">
        <f>IFERROR(VLOOKUP(功能_33[[#This Row],[功能代號]],SIT_FT!D:D,1,FALSE),"")</f>
        <v>L6908</v>
      </c>
    </row>
    <row r="176" spans="3:49" ht="13.5" hidden="1" x14ac:dyDescent="0.3">
      <c r="C176" s="276" t="s">
        <v>82</v>
      </c>
      <c r="D176" s="276" t="s">
        <v>2479</v>
      </c>
      <c r="E176" s="275" t="s">
        <v>528</v>
      </c>
      <c r="F176" s="276" t="s">
        <v>529</v>
      </c>
      <c r="G176" s="276"/>
      <c r="H176" s="275" t="s">
        <v>179</v>
      </c>
      <c r="I176" s="275" t="s">
        <v>300</v>
      </c>
      <c r="J176" s="218" t="s">
        <v>403</v>
      </c>
      <c r="K176" s="283">
        <v>44572</v>
      </c>
      <c r="L176" s="283">
        <v>44568</v>
      </c>
      <c r="M176" s="283">
        <v>44515</v>
      </c>
      <c r="N176" s="283">
        <v>44466</v>
      </c>
      <c r="O176" s="283">
        <v>44472</v>
      </c>
      <c r="P176" s="275" t="s">
        <v>12</v>
      </c>
      <c r="Q176" s="275" t="s">
        <v>24</v>
      </c>
      <c r="V176" s="275"/>
      <c r="X176" s="275"/>
      <c r="Y176" s="275"/>
      <c r="Z176" s="276" t="str">
        <f>VLOOKUP(功能_33[[#This Row],[User]],SKL放款!A:G,7,FALSE)</f>
        <v>放款服務課</v>
      </c>
      <c r="AA176" s="283">
        <v>44472</v>
      </c>
      <c r="AB176" s="283" t="s">
        <v>119</v>
      </c>
      <c r="AC176" s="215" t="s">
        <v>2696</v>
      </c>
      <c r="AD176" s="283">
        <v>44539</v>
      </c>
      <c r="AE176" s="283">
        <v>44544</v>
      </c>
      <c r="AF176" s="283"/>
      <c r="AG176" s="283"/>
      <c r="AH176" s="334"/>
      <c r="AI176" s="283">
        <f>IFERROR(IF(VLOOKUP(功能_33[[#This Row],[功能代號]],E:S,11,FALSE)=0,"",VLOOKUP(功能_33[[#This Row],[功能代號]],E:S,11,FALSE)),"")</f>
        <v>44472</v>
      </c>
      <c r="AJ176" s="283"/>
      <c r="AK176" s="283"/>
      <c r="AL176" s="276"/>
      <c r="AM176" s="283"/>
      <c r="AN176" s="275" t="s">
        <v>176</v>
      </c>
      <c r="AQ176" s="507" t="str">
        <f t="shared" si="18"/>
        <v>6-3</v>
      </c>
      <c r="AR176" s="509" t="str">
        <f t="shared" si="19"/>
        <v/>
      </c>
      <c r="AS176" s="511" t="str">
        <f t="shared" si="20"/>
        <v/>
      </c>
      <c r="AT176" s="513" t="str">
        <f t="shared" si="21"/>
        <v/>
      </c>
      <c r="AU176" s="515" t="str">
        <f t="shared" si="22"/>
        <v/>
      </c>
      <c r="AV176" s="517" t="str">
        <f t="shared" si="23"/>
        <v/>
      </c>
      <c r="AW176" s="589" t="str">
        <f>IFERROR(VLOOKUP(功能_33[[#This Row],[功能代號]],SIT_FT!D:D,1,FALSE),"")</f>
        <v>L6030</v>
      </c>
    </row>
    <row r="177" spans="1:49" ht="13.5" hidden="1" x14ac:dyDescent="0.3">
      <c r="C177" s="276" t="s">
        <v>82</v>
      </c>
      <c r="D177" s="276" t="s">
        <v>2479</v>
      </c>
      <c r="E177" s="275" t="s">
        <v>530</v>
      </c>
      <c r="F177" s="276" t="s">
        <v>531</v>
      </c>
      <c r="G177" s="276"/>
      <c r="H177" s="275" t="s">
        <v>179</v>
      </c>
      <c r="I177" s="275" t="s">
        <v>300</v>
      </c>
      <c r="J177" s="218" t="s">
        <v>403</v>
      </c>
      <c r="K177" s="283">
        <v>44572</v>
      </c>
      <c r="L177" s="283">
        <v>44568</v>
      </c>
      <c r="M177" s="283">
        <v>44515</v>
      </c>
      <c r="N177" s="283">
        <v>44466</v>
      </c>
      <c r="O177" s="283">
        <v>44472</v>
      </c>
      <c r="P177" s="275" t="s">
        <v>12</v>
      </c>
      <c r="Q177" s="275" t="s">
        <v>24</v>
      </c>
      <c r="V177" s="275"/>
      <c r="X177" s="275"/>
      <c r="Y177" s="275"/>
      <c r="Z177" s="276" t="str">
        <f>VLOOKUP(功能_33[[#This Row],[User]],SKL放款!A:G,7,FALSE)</f>
        <v>放款服務課</v>
      </c>
      <c r="AA177" s="283">
        <v>44472</v>
      </c>
      <c r="AB177" s="283" t="s">
        <v>2574</v>
      </c>
      <c r="AC177" s="215" t="s">
        <v>2696</v>
      </c>
      <c r="AD177" s="283">
        <v>44539</v>
      </c>
      <c r="AE177" s="283">
        <v>44544</v>
      </c>
      <c r="AF177" s="283"/>
      <c r="AG177" s="283"/>
      <c r="AH177" s="334"/>
      <c r="AI177" s="283">
        <f>IFERROR(IF(VLOOKUP(功能_33[[#This Row],[功能代號]],E:S,11,FALSE)=0,"",VLOOKUP(功能_33[[#This Row],[功能代號]],E:S,11,FALSE)),"")</f>
        <v>44472</v>
      </c>
      <c r="AJ177" s="283"/>
      <c r="AK177" s="283"/>
      <c r="AL177" s="276"/>
      <c r="AM177" s="283"/>
      <c r="AN177" s="275" t="s">
        <v>176</v>
      </c>
      <c r="AQ177" s="507" t="str">
        <f t="shared" si="18"/>
        <v>6-3</v>
      </c>
      <c r="AR177" s="509" t="str">
        <f t="shared" si="19"/>
        <v/>
      </c>
      <c r="AS177" s="511" t="str">
        <f t="shared" si="20"/>
        <v/>
      </c>
      <c r="AT177" s="513" t="str">
        <f t="shared" si="21"/>
        <v/>
      </c>
      <c r="AU177" s="515" t="str">
        <f t="shared" si="22"/>
        <v/>
      </c>
      <c r="AV177" s="517" t="str">
        <f t="shared" si="23"/>
        <v/>
      </c>
      <c r="AW177" s="589" t="str">
        <f>IFERROR(VLOOKUP(功能_33[[#This Row],[功能代號]],SIT_FT!D:D,1,FALSE),"")</f>
        <v>L6310</v>
      </c>
    </row>
    <row r="178" spans="1:49" ht="13.5" hidden="1" x14ac:dyDescent="0.3">
      <c r="C178" s="276" t="s">
        <v>82</v>
      </c>
      <c r="D178" s="276" t="s">
        <v>2479</v>
      </c>
      <c r="E178" s="275" t="s">
        <v>828</v>
      </c>
      <c r="F178" s="276" t="s">
        <v>829</v>
      </c>
      <c r="G178" s="276"/>
      <c r="H178" s="275" t="s">
        <v>179</v>
      </c>
      <c r="I178" s="275" t="s">
        <v>300</v>
      </c>
      <c r="J178" s="218" t="s">
        <v>403</v>
      </c>
      <c r="K178" s="283">
        <v>44572</v>
      </c>
      <c r="L178" s="283">
        <v>44568</v>
      </c>
      <c r="M178" s="283">
        <v>44489</v>
      </c>
      <c r="N178" s="283">
        <v>44489</v>
      </c>
      <c r="O178" s="283">
        <v>44494</v>
      </c>
      <c r="P178" s="275" t="s">
        <v>12</v>
      </c>
      <c r="Q178" s="275" t="s">
        <v>158</v>
      </c>
      <c r="V178" s="275"/>
      <c r="X178" s="275"/>
      <c r="Y178" s="275"/>
      <c r="Z178" s="276" t="str">
        <f>VLOOKUP(功能_33[[#This Row],[User]],SKL放款!A:G,7,FALSE)</f>
        <v>放款服務課</v>
      </c>
      <c r="AA178" s="283">
        <v>44494</v>
      </c>
      <c r="AB178" s="283" t="s">
        <v>119</v>
      </c>
      <c r="AC178" s="283" t="s">
        <v>2605</v>
      </c>
      <c r="AD178" s="283">
        <v>44544</v>
      </c>
      <c r="AE178" s="283">
        <v>44544</v>
      </c>
      <c r="AF178" s="283"/>
      <c r="AG178" s="283"/>
      <c r="AH178" s="334"/>
      <c r="AI178" s="283">
        <f>IFERROR(IF(VLOOKUP(功能_33[[#This Row],[功能代號]],E:S,11,FALSE)=0,"",VLOOKUP(功能_33[[#This Row],[功能代號]],E:S,11,FALSE)),"")</f>
        <v>44494</v>
      </c>
      <c r="AJ178" s="283"/>
      <c r="AK178" s="283"/>
      <c r="AL178" s="276"/>
      <c r="AM178" s="283"/>
      <c r="AN178" s="275" t="s">
        <v>176</v>
      </c>
      <c r="AQ178" s="507" t="str">
        <f t="shared" si="18"/>
        <v>6-3</v>
      </c>
      <c r="AR178" s="509" t="str">
        <f t="shared" si="19"/>
        <v/>
      </c>
      <c r="AS178" s="511" t="str">
        <f t="shared" si="20"/>
        <v/>
      </c>
      <c r="AT178" s="513" t="str">
        <f t="shared" si="21"/>
        <v/>
      </c>
      <c r="AU178" s="515" t="str">
        <f t="shared" si="22"/>
        <v/>
      </c>
      <c r="AV178" s="517" t="str">
        <f t="shared" si="23"/>
        <v/>
      </c>
      <c r="AW178" s="589" t="str">
        <f>IFERROR(VLOOKUP(功能_33[[#This Row],[功能代號]],SIT_FT!D:D,1,FALSE),"")</f>
        <v>L6031</v>
      </c>
    </row>
    <row r="179" spans="1:49" ht="13.5" hidden="1" x14ac:dyDescent="0.3">
      <c r="C179" s="276" t="s">
        <v>82</v>
      </c>
      <c r="D179" s="276" t="s">
        <v>2479</v>
      </c>
      <c r="E179" s="275" t="s">
        <v>830</v>
      </c>
      <c r="F179" s="276" t="s">
        <v>831</v>
      </c>
      <c r="G179" s="276"/>
      <c r="H179" s="275" t="s">
        <v>179</v>
      </c>
      <c r="I179" s="275" t="s">
        <v>300</v>
      </c>
      <c r="J179" s="218" t="s">
        <v>403</v>
      </c>
      <c r="K179" s="283">
        <v>44572</v>
      </c>
      <c r="L179" s="283">
        <v>44568</v>
      </c>
      <c r="M179" s="283">
        <v>44489</v>
      </c>
      <c r="N179" s="283">
        <v>44489</v>
      </c>
      <c r="O179" s="283">
        <v>44494</v>
      </c>
      <c r="P179" s="275" t="s">
        <v>12</v>
      </c>
      <c r="Q179" s="275" t="s">
        <v>158</v>
      </c>
      <c r="V179" s="275"/>
      <c r="X179" s="275"/>
      <c r="Y179" s="275"/>
      <c r="Z179" s="276" t="str">
        <f>VLOOKUP(功能_33[[#This Row],[User]],SKL放款!A:G,7,FALSE)</f>
        <v>放款服務課</v>
      </c>
      <c r="AA179" s="283">
        <v>44494</v>
      </c>
      <c r="AB179" s="283" t="s">
        <v>119</v>
      </c>
      <c r="AC179" s="283" t="s">
        <v>2605</v>
      </c>
      <c r="AD179" s="283">
        <v>44544</v>
      </c>
      <c r="AE179" s="283">
        <v>44544</v>
      </c>
      <c r="AF179" s="283"/>
      <c r="AG179" s="283"/>
      <c r="AH179" s="334"/>
      <c r="AI179" s="283">
        <f>IFERROR(IF(VLOOKUP(功能_33[[#This Row],[功能代號]],E:S,11,FALSE)=0,"",VLOOKUP(功能_33[[#This Row],[功能代號]],E:S,11,FALSE)),"")</f>
        <v>44494</v>
      </c>
      <c r="AJ179" s="283"/>
      <c r="AK179" s="283"/>
      <c r="AL179" s="276"/>
      <c r="AM179" s="283"/>
      <c r="AN179" s="275" t="s">
        <v>176</v>
      </c>
      <c r="AQ179" s="507" t="str">
        <f t="shared" si="18"/>
        <v>6-3</v>
      </c>
      <c r="AR179" s="509" t="str">
        <f t="shared" si="19"/>
        <v/>
      </c>
      <c r="AS179" s="511" t="str">
        <f t="shared" si="20"/>
        <v/>
      </c>
      <c r="AT179" s="513" t="str">
        <f t="shared" si="21"/>
        <v/>
      </c>
      <c r="AU179" s="515" t="str">
        <f t="shared" si="22"/>
        <v/>
      </c>
      <c r="AV179" s="517" t="str">
        <f t="shared" si="23"/>
        <v/>
      </c>
      <c r="AW179" s="589" t="str">
        <f>IFERROR(VLOOKUP(功能_33[[#This Row],[功能代號]],SIT_FT!D:D,1,FALSE),"")</f>
        <v>L6032</v>
      </c>
    </row>
    <row r="180" spans="1:49" ht="13.5" hidden="1" x14ac:dyDescent="0.3">
      <c r="C180" s="276" t="s">
        <v>82</v>
      </c>
      <c r="D180" s="276" t="s">
        <v>2479</v>
      </c>
      <c r="E180" s="275" t="s">
        <v>832</v>
      </c>
      <c r="F180" s="276" t="s">
        <v>833</v>
      </c>
      <c r="G180" s="276"/>
      <c r="H180" s="275" t="s">
        <v>179</v>
      </c>
      <c r="I180" s="275" t="s">
        <v>300</v>
      </c>
      <c r="J180" s="218" t="s">
        <v>403</v>
      </c>
      <c r="K180" s="283">
        <v>44572</v>
      </c>
      <c r="L180" s="283">
        <v>44568</v>
      </c>
      <c r="M180" s="283">
        <v>44489</v>
      </c>
      <c r="N180" s="283">
        <v>44489</v>
      </c>
      <c r="O180" s="283">
        <v>44494</v>
      </c>
      <c r="P180" s="275" t="s">
        <v>12</v>
      </c>
      <c r="Q180" s="275" t="s">
        <v>158</v>
      </c>
      <c r="V180" s="275"/>
      <c r="X180" s="275"/>
      <c r="Y180" s="275"/>
      <c r="Z180" s="276" t="str">
        <f>VLOOKUP(功能_33[[#This Row],[User]],SKL放款!A:G,7,FALSE)</f>
        <v>放款服務課</v>
      </c>
      <c r="AA180" s="283">
        <v>44494</v>
      </c>
      <c r="AB180" s="283" t="s">
        <v>119</v>
      </c>
      <c r="AC180" s="283" t="s">
        <v>2605</v>
      </c>
      <c r="AD180" s="283">
        <v>44544</v>
      </c>
      <c r="AE180" s="283">
        <v>44544</v>
      </c>
      <c r="AF180" s="283"/>
      <c r="AG180" s="283"/>
      <c r="AH180" s="334"/>
      <c r="AI180" s="283">
        <f>IFERROR(IF(VLOOKUP(功能_33[[#This Row],[功能代號]],E:S,11,FALSE)=0,"",VLOOKUP(功能_33[[#This Row],[功能代號]],E:S,11,FALSE)),"")</f>
        <v>44494</v>
      </c>
      <c r="AJ180" s="283"/>
      <c r="AK180" s="283"/>
      <c r="AL180" s="276"/>
      <c r="AM180" s="283"/>
      <c r="AN180" s="275" t="s">
        <v>176</v>
      </c>
      <c r="AQ180" s="507" t="str">
        <f t="shared" si="18"/>
        <v>6-3</v>
      </c>
      <c r="AR180" s="509" t="str">
        <f t="shared" si="19"/>
        <v/>
      </c>
      <c r="AS180" s="511" t="str">
        <f t="shared" si="20"/>
        <v/>
      </c>
      <c r="AT180" s="513" t="str">
        <f t="shared" si="21"/>
        <v/>
      </c>
      <c r="AU180" s="515" t="str">
        <f t="shared" si="22"/>
        <v/>
      </c>
      <c r="AV180" s="517" t="str">
        <f t="shared" si="23"/>
        <v/>
      </c>
      <c r="AW180" s="589" t="str">
        <f>IFERROR(VLOOKUP(功能_33[[#This Row],[功能代號]],SIT_FT!D:D,1,FALSE),"")</f>
        <v>L6301</v>
      </c>
    </row>
    <row r="181" spans="1:49" ht="13.5" hidden="1" x14ac:dyDescent="0.3">
      <c r="C181" s="276" t="s">
        <v>82</v>
      </c>
      <c r="D181" s="276" t="s">
        <v>2479</v>
      </c>
      <c r="E181" s="275" t="s">
        <v>834</v>
      </c>
      <c r="F181" s="276" t="s">
        <v>835</v>
      </c>
      <c r="G181" s="276"/>
      <c r="H181" s="275" t="s">
        <v>179</v>
      </c>
      <c r="I181" s="275" t="s">
        <v>300</v>
      </c>
      <c r="J181" s="218" t="s">
        <v>403</v>
      </c>
      <c r="K181" s="283">
        <v>44572</v>
      </c>
      <c r="L181" s="283">
        <v>44568</v>
      </c>
      <c r="M181" s="283">
        <v>44489</v>
      </c>
      <c r="N181" s="283">
        <v>44489</v>
      </c>
      <c r="O181" s="283">
        <v>44494</v>
      </c>
      <c r="P181" s="275" t="s">
        <v>12</v>
      </c>
      <c r="Q181" s="275" t="s">
        <v>158</v>
      </c>
      <c r="V181" s="275"/>
      <c r="X181" s="275"/>
      <c r="Y181" s="275"/>
      <c r="Z181" s="276" t="str">
        <f>VLOOKUP(功能_33[[#This Row],[User]],SKL放款!A:G,7,FALSE)</f>
        <v>放款服務課</v>
      </c>
      <c r="AA181" s="283">
        <v>44494</v>
      </c>
      <c r="AB181" s="283" t="s">
        <v>119</v>
      </c>
      <c r="AC181" s="283" t="s">
        <v>2605</v>
      </c>
      <c r="AD181" s="283">
        <v>44544</v>
      </c>
      <c r="AE181" s="283">
        <v>44544</v>
      </c>
      <c r="AF181" s="283"/>
      <c r="AG181" s="283"/>
      <c r="AH181" s="334"/>
      <c r="AI181" s="283">
        <f>IFERROR(IF(VLOOKUP(功能_33[[#This Row],[功能代號]],E:S,11,FALSE)=0,"",VLOOKUP(功能_33[[#This Row],[功能代號]],E:S,11,FALSE)),"")</f>
        <v>44494</v>
      </c>
      <c r="AJ181" s="283"/>
      <c r="AK181" s="283"/>
      <c r="AL181" s="276"/>
      <c r="AM181" s="283"/>
      <c r="AN181" s="275" t="s">
        <v>176</v>
      </c>
      <c r="AQ181" s="507" t="str">
        <f t="shared" si="18"/>
        <v>6-3</v>
      </c>
      <c r="AR181" s="509" t="str">
        <f t="shared" si="19"/>
        <v/>
      </c>
      <c r="AS181" s="511" t="str">
        <f t="shared" si="20"/>
        <v/>
      </c>
      <c r="AT181" s="513" t="str">
        <f t="shared" si="21"/>
        <v/>
      </c>
      <c r="AU181" s="515" t="str">
        <f t="shared" si="22"/>
        <v/>
      </c>
      <c r="AV181" s="517" t="str">
        <f t="shared" si="23"/>
        <v/>
      </c>
      <c r="AW181" s="589" t="str">
        <f>IFERROR(VLOOKUP(功能_33[[#This Row],[功能代號]],SIT_FT!D:D,1,FALSE),"")</f>
        <v>L6302</v>
      </c>
    </row>
    <row r="182" spans="1:49" ht="13.5" hidden="1" x14ac:dyDescent="0.3">
      <c r="C182" s="276" t="s">
        <v>82</v>
      </c>
      <c r="D182" s="431" t="s">
        <v>2480</v>
      </c>
      <c r="E182" s="275" t="s">
        <v>1088</v>
      </c>
      <c r="F182" s="258" t="s">
        <v>1089</v>
      </c>
      <c r="G182" s="276"/>
      <c r="H182" s="275" t="s">
        <v>122</v>
      </c>
      <c r="I182" s="275" t="s">
        <v>300</v>
      </c>
      <c r="J182" s="218" t="s">
        <v>2977</v>
      </c>
      <c r="K182" s="283">
        <v>44571</v>
      </c>
      <c r="L182" s="283">
        <v>44567</v>
      </c>
      <c r="M182" s="283">
        <v>44529</v>
      </c>
      <c r="N182" s="283">
        <v>44529</v>
      </c>
      <c r="O182" s="283">
        <v>44533</v>
      </c>
      <c r="P182" s="275" t="s">
        <v>12</v>
      </c>
      <c r="Q182" s="275" t="s">
        <v>11</v>
      </c>
      <c r="V182" s="275"/>
      <c r="X182" s="275"/>
      <c r="Y182" s="275"/>
      <c r="Z182" s="276" t="str">
        <f>VLOOKUP(功能_33[[#This Row],[User]],SKL放款!A:G,7,FALSE)</f>
        <v>放款服務課</v>
      </c>
      <c r="AA182" s="283">
        <v>44533</v>
      </c>
      <c r="AB182" s="283" t="s">
        <v>119</v>
      </c>
      <c r="AC182" s="283" t="s">
        <v>2605</v>
      </c>
      <c r="AD182" s="283">
        <v>44544</v>
      </c>
      <c r="AE182" s="215" t="s">
        <v>3002</v>
      </c>
      <c r="AF182" s="283"/>
      <c r="AG182" s="283"/>
      <c r="AH182" s="334"/>
      <c r="AI182" s="283">
        <f>IFERROR(IF(VLOOKUP(功能_33[[#This Row],[功能代號]],E:S,11,FALSE)=0,"",VLOOKUP(功能_33[[#This Row],[功能代號]],E:S,11,FALSE)),"")</f>
        <v>44533</v>
      </c>
      <c r="AJ182" s="283"/>
      <c r="AK182" s="283"/>
      <c r="AL182" s="276"/>
      <c r="AM182" s="283">
        <v>44491</v>
      </c>
      <c r="AN182" s="275" t="s">
        <v>176</v>
      </c>
      <c r="AQ182" s="507" t="str">
        <f t="shared" si="18"/>
        <v>6-4</v>
      </c>
      <c r="AR182" s="509" t="str">
        <f t="shared" si="19"/>
        <v/>
      </c>
      <c r="AS182" s="511" t="str">
        <f t="shared" si="20"/>
        <v/>
      </c>
      <c r="AT182" s="513" t="str">
        <f t="shared" si="21"/>
        <v/>
      </c>
      <c r="AU182" s="515" t="str">
        <f t="shared" si="22"/>
        <v/>
      </c>
      <c r="AV182" s="517" t="str">
        <f t="shared" si="23"/>
        <v/>
      </c>
      <c r="AW182" s="589" t="str">
        <f>IFERROR(VLOOKUP(功能_33[[#This Row],[功能代號]],SIT_FT!D:D,1,FALSE),"")</f>
        <v>L6042</v>
      </c>
    </row>
    <row r="183" spans="1:49" ht="13.5" hidden="1" x14ac:dyDescent="0.3">
      <c r="C183" s="276" t="s">
        <v>82</v>
      </c>
      <c r="D183" s="431" t="s">
        <v>2480</v>
      </c>
      <c r="E183" s="275" t="s">
        <v>1090</v>
      </c>
      <c r="F183" s="258" t="s">
        <v>1091</v>
      </c>
      <c r="G183" s="276"/>
      <c r="H183" s="275" t="s">
        <v>122</v>
      </c>
      <c r="I183" s="275" t="s">
        <v>300</v>
      </c>
      <c r="J183" s="218" t="s">
        <v>2977</v>
      </c>
      <c r="K183" s="283">
        <v>44571</v>
      </c>
      <c r="L183" s="283">
        <v>44567</v>
      </c>
      <c r="M183" s="283">
        <v>44529</v>
      </c>
      <c r="N183" s="283">
        <v>44529</v>
      </c>
      <c r="O183" s="283">
        <v>44533</v>
      </c>
      <c r="P183" s="275" t="s">
        <v>12</v>
      </c>
      <c r="Q183" s="275" t="s">
        <v>11</v>
      </c>
      <c r="V183" s="275"/>
      <c r="X183" s="275"/>
      <c r="Y183" s="275"/>
      <c r="Z183" s="276" t="str">
        <f>VLOOKUP(功能_33[[#This Row],[User]],SKL放款!A:G,7,FALSE)</f>
        <v>放款服務課</v>
      </c>
      <c r="AA183" s="283">
        <v>44533</v>
      </c>
      <c r="AB183" s="283" t="s">
        <v>119</v>
      </c>
      <c r="AC183" s="283" t="s">
        <v>2605</v>
      </c>
      <c r="AD183" s="283">
        <v>44544</v>
      </c>
      <c r="AE183" s="215" t="s">
        <v>3002</v>
      </c>
      <c r="AF183" s="283"/>
      <c r="AG183" s="283"/>
      <c r="AH183" s="334"/>
      <c r="AI183" s="283">
        <f>IFERROR(IF(VLOOKUP(功能_33[[#This Row],[功能代號]],E:S,11,FALSE)=0,"",VLOOKUP(功能_33[[#This Row],[功能代號]],E:S,11,FALSE)),"")</f>
        <v>44533</v>
      </c>
      <c r="AJ183" s="283"/>
      <c r="AK183" s="283"/>
      <c r="AL183" s="276"/>
      <c r="AM183" s="283"/>
      <c r="AN183" s="275" t="s">
        <v>176</v>
      </c>
      <c r="AQ183" s="507" t="str">
        <f t="shared" si="18"/>
        <v>6-4</v>
      </c>
      <c r="AR183" s="509" t="str">
        <f t="shared" si="19"/>
        <v/>
      </c>
      <c r="AS183" s="511" t="str">
        <f t="shared" si="20"/>
        <v/>
      </c>
      <c r="AT183" s="513" t="str">
        <f t="shared" si="21"/>
        <v/>
      </c>
      <c r="AU183" s="515" t="str">
        <f t="shared" si="22"/>
        <v/>
      </c>
      <c r="AV183" s="517" t="str">
        <f t="shared" si="23"/>
        <v/>
      </c>
      <c r="AW183" s="589" t="str">
        <f>IFERROR(VLOOKUP(功能_33[[#This Row],[功能代號]],SIT_FT!D:D,1,FALSE),"")</f>
        <v>L6402</v>
      </c>
    </row>
    <row r="184" spans="1:49" ht="13.5" hidden="1" x14ac:dyDescent="0.3">
      <c r="C184" s="276" t="s">
        <v>82</v>
      </c>
      <c r="D184" s="431" t="s">
        <v>2480</v>
      </c>
      <c r="E184" s="275" t="s">
        <v>1096</v>
      </c>
      <c r="F184" s="258" t="s">
        <v>1097</v>
      </c>
      <c r="G184" s="276"/>
      <c r="H184" s="275" t="s">
        <v>122</v>
      </c>
      <c r="I184" s="275" t="s">
        <v>300</v>
      </c>
      <c r="J184" s="218" t="s">
        <v>2977</v>
      </c>
      <c r="K184" s="283">
        <v>44571</v>
      </c>
      <c r="L184" s="283">
        <v>44568</v>
      </c>
      <c r="M184" s="283">
        <v>44529</v>
      </c>
      <c r="N184" s="283">
        <v>44529</v>
      </c>
      <c r="O184" s="283">
        <v>44533</v>
      </c>
      <c r="P184" s="275" t="s">
        <v>12</v>
      </c>
      <c r="Q184" s="275" t="s">
        <v>11</v>
      </c>
      <c r="V184" s="275"/>
      <c r="X184" s="275"/>
      <c r="Y184" s="275"/>
      <c r="Z184" s="276" t="str">
        <f>VLOOKUP(功能_33[[#This Row],[User]],SKL放款!A:G,7,FALSE)</f>
        <v>放款服務課</v>
      </c>
      <c r="AA184" s="283">
        <v>44533</v>
      </c>
      <c r="AB184" s="283" t="s">
        <v>2574</v>
      </c>
      <c r="AC184" s="283" t="s">
        <v>2605</v>
      </c>
      <c r="AD184" s="283">
        <v>44544</v>
      </c>
      <c r="AE184" s="215" t="s">
        <v>3002</v>
      </c>
      <c r="AF184" s="283"/>
      <c r="AG184" s="283"/>
      <c r="AH184" s="334"/>
      <c r="AI184" s="283">
        <f>IFERROR(IF(VLOOKUP(功能_33[[#This Row],[功能代號]],E:S,11,FALSE)=0,"",VLOOKUP(功能_33[[#This Row],[功能代號]],E:S,11,FALSE)),"")</f>
        <v>44533</v>
      </c>
      <c r="AJ184" s="283"/>
      <c r="AK184" s="283"/>
      <c r="AL184" s="276"/>
      <c r="AM184" s="283"/>
      <c r="AN184" s="275" t="s">
        <v>176</v>
      </c>
      <c r="AQ184" s="507" t="str">
        <f t="shared" si="18"/>
        <v>6-4</v>
      </c>
      <c r="AR184" s="509" t="str">
        <f t="shared" si="19"/>
        <v/>
      </c>
      <c r="AS184" s="511" t="str">
        <f t="shared" si="20"/>
        <v/>
      </c>
      <c r="AT184" s="513" t="str">
        <f t="shared" si="21"/>
        <v/>
      </c>
      <c r="AU184" s="515" t="str">
        <f t="shared" si="22"/>
        <v/>
      </c>
      <c r="AV184" s="517" t="str">
        <f t="shared" si="23"/>
        <v/>
      </c>
      <c r="AW184" s="589" t="str">
        <f>IFERROR(VLOOKUP(功能_33[[#This Row],[功能代號]],SIT_FT!D:D,1,FALSE),"")</f>
        <v>L6043</v>
      </c>
    </row>
    <row r="185" spans="1:49" ht="13.5" hidden="1" x14ac:dyDescent="0.3">
      <c r="C185" s="276" t="s">
        <v>82</v>
      </c>
      <c r="D185" s="431" t="s">
        <v>2480</v>
      </c>
      <c r="E185" s="275" t="s">
        <v>1098</v>
      </c>
      <c r="F185" s="276" t="s">
        <v>1099</v>
      </c>
      <c r="G185" s="276"/>
      <c r="H185" s="275" t="s">
        <v>122</v>
      </c>
      <c r="I185" s="275" t="s">
        <v>300</v>
      </c>
      <c r="J185" s="218" t="s">
        <v>2879</v>
      </c>
      <c r="K185" s="283">
        <v>44571</v>
      </c>
      <c r="L185" s="283">
        <v>44568</v>
      </c>
      <c r="M185" s="283">
        <v>44529</v>
      </c>
      <c r="N185" s="283">
        <v>44529</v>
      </c>
      <c r="O185" s="283">
        <v>44533</v>
      </c>
      <c r="P185" s="275" t="s">
        <v>12</v>
      </c>
      <c r="Q185" s="275" t="s">
        <v>11</v>
      </c>
      <c r="V185" s="275"/>
      <c r="X185" s="275"/>
      <c r="Y185" s="275"/>
      <c r="Z185" s="276" t="str">
        <f>VLOOKUP(功能_33[[#This Row],[User]],SKL放款!A:G,7,FALSE)</f>
        <v>放款服務課</v>
      </c>
      <c r="AA185" s="283">
        <v>44533</v>
      </c>
      <c r="AB185" s="283" t="s">
        <v>2574</v>
      </c>
      <c r="AC185" s="283" t="s">
        <v>2605</v>
      </c>
      <c r="AD185" s="283">
        <v>44544</v>
      </c>
      <c r="AE185" s="215">
        <v>44544</v>
      </c>
      <c r="AF185" s="283"/>
      <c r="AG185" s="283"/>
      <c r="AH185" s="334"/>
      <c r="AI185" s="283">
        <f>IFERROR(IF(VLOOKUP(功能_33[[#This Row],[功能代號]],E:S,11,FALSE)=0,"",VLOOKUP(功能_33[[#This Row],[功能代號]],E:S,11,FALSE)),"")</f>
        <v>44533</v>
      </c>
      <c r="AJ185" s="283"/>
      <c r="AK185" s="283"/>
      <c r="AL185" s="276"/>
      <c r="AM185" s="283"/>
      <c r="AN185" s="275" t="s">
        <v>176</v>
      </c>
      <c r="AQ185" s="507" t="str">
        <f t="shared" si="18"/>
        <v>6-4</v>
      </c>
      <c r="AR185" s="509" t="str">
        <f t="shared" si="19"/>
        <v/>
      </c>
      <c r="AS185" s="511" t="str">
        <f t="shared" si="20"/>
        <v/>
      </c>
      <c r="AT185" s="513" t="str">
        <f t="shared" si="21"/>
        <v/>
      </c>
      <c r="AU185" s="515" t="str">
        <f t="shared" si="22"/>
        <v/>
      </c>
      <c r="AV185" s="517" t="str">
        <f t="shared" si="23"/>
        <v/>
      </c>
      <c r="AW185" s="589" t="str">
        <f>IFERROR(VLOOKUP(功能_33[[#This Row],[功能代號]],SIT_FT!D:D,1,FALSE),"")</f>
        <v>L6403</v>
      </c>
    </row>
    <row r="186" spans="1:49" ht="13.5" hidden="1" x14ac:dyDescent="0.3">
      <c r="C186" s="276" t="s">
        <v>82</v>
      </c>
      <c r="D186" s="431" t="s">
        <v>2480</v>
      </c>
      <c r="E186" s="275" t="s">
        <v>1107</v>
      </c>
      <c r="F186" s="276" t="s">
        <v>1108</v>
      </c>
      <c r="G186" s="276"/>
      <c r="H186" s="275" t="s">
        <v>122</v>
      </c>
      <c r="I186" s="275" t="s">
        <v>300</v>
      </c>
      <c r="J186" s="218" t="s">
        <v>2977</v>
      </c>
      <c r="K186" s="283">
        <v>44571</v>
      </c>
      <c r="L186" s="283">
        <v>44567</v>
      </c>
      <c r="M186" s="283">
        <v>44529</v>
      </c>
      <c r="N186" s="283">
        <v>44529</v>
      </c>
      <c r="O186" s="283">
        <v>44533</v>
      </c>
      <c r="P186" s="275" t="s">
        <v>12</v>
      </c>
      <c r="Q186" s="275" t="s">
        <v>11</v>
      </c>
      <c r="V186" s="275"/>
      <c r="X186" s="275"/>
      <c r="Y186" s="275"/>
      <c r="Z186" s="276" t="str">
        <f>VLOOKUP(功能_33[[#This Row],[User]],SKL放款!A:G,7,FALSE)</f>
        <v>放款服務課</v>
      </c>
      <c r="AA186" s="283">
        <v>44533</v>
      </c>
      <c r="AB186" s="283" t="s">
        <v>119</v>
      </c>
      <c r="AC186" s="283" t="s">
        <v>2605</v>
      </c>
      <c r="AD186" s="283">
        <v>44544</v>
      </c>
      <c r="AE186" s="215" t="s">
        <v>3002</v>
      </c>
      <c r="AF186" s="283"/>
      <c r="AG186" s="283"/>
      <c r="AH186" s="334"/>
      <c r="AI186" s="283">
        <f>IFERROR(IF(VLOOKUP(功能_33[[#This Row],[功能代號]],E:S,11,FALSE)=0,"",VLOOKUP(功能_33[[#This Row],[功能代號]],E:S,11,FALSE)),"")</f>
        <v>44533</v>
      </c>
      <c r="AJ186" s="283"/>
      <c r="AK186" s="283"/>
      <c r="AL186" s="276"/>
      <c r="AM186" s="283"/>
      <c r="AN186" s="275" t="s">
        <v>176</v>
      </c>
      <c r="AQ186" s="507" t="str">
        <f t="shared" si="18"/>
        <v>6-4</v>
      </c>
      <c r="AR186" s="509" t="str">
        <f t="shared" si="19"/>
        <v/>
      </c>
      <c r="AS186" s="511" t="str">
        <f t="shared" si="20"/>
        <v/>
      </c>
      <c r="AT186" s="513" t="str">
        <f t="shared" si="21"/>
        <v/>
      </c>
      <c r="AU186" s="515" t="str">
        <f t="shared" si="22"/>
        <v/>
      </c>
      <c r="AV186" s="517" t="str">
        <f t="shared" si="23"/>
        <v/>
      </c>
      <c r="AW186" s="589" t="str">
        <f>IFERROR(VLOOKUP(功能_33[[#This Row],[功能代號]],SIT_FT!D:D,1,FALSE),"")</f>
        <v>L6041</v>
      </c>
    </row>
    <row r="187" spans="1:49" ht="13.5" hidden="1" x14ac:dyDescent="0.3">
      <c r="C187" s="276" t="s">
        <v>82</v>
      </c>
      <c r="D187" s="431" t="s">
        <v>2480</v>
      </c>
      <c r="E187" s="275" t="s">
        <v>1109</v>
      </c>
      <c r="F187" s="276" t="s">
        <v>1110</v>
      </c>
      <c r="G187" s="276"/>
      <c r="H187" s="275" t="s">
        <v>122</v>
      </c>
      <c r="I187" s="275" t="s">
        <v>300</v>
      </c>
      <c r="J187" s="218" t="s">
        <v>2977</v>
      </c>
      <c r="K187" s="283">
        <v>44571</v>
      </c>
      <c r="L187" s="283">
        <v>44567</v>
      </c>
      <c r="M187" s="283">
        <v>44529</v>
      </c>
      <c r="N187" s="283">
        <v>44520</v>
      </c>
      <c r="O187" s="283">
        <v>44533</v>
      </c>
      <c r="P187" s="275" t="s">
        <v>12</v>
      </c>
      <c r="Q187" s="275" t="s">
        <v>158</v>
      </c>
      <c r="V187" s="275"/>
      <c r="X187" s="275"/>
      <c r="Y187" s="275"/>
      <c r="Z187" s="276" t="str">
        <f>VLOOKUP(功能_33[[#This Row],[User]],SKL放款!A:G,7,FALSE)</f>
        <v>放款服務課</v>
      </c>
      <c r="AA187" s="283">
        <v>44533</v>
      </c>
      <c r="AB187" s="283" t="s">
        <v>119</v>
      </c>
      <c r="AC187" s="283" t="s">
        <v>2605</v>
      </c>
      <c r="AD187" s="283">
        <v>44544</v>
      </c>
      <c r="AE187" s="215" t="s">
        <v>3009</v>
      </c>
      <c r="AF187" s="283"/>
      <c r="AG187" s="283"/>
      <c r="AH187" s="334"/>
      <c r="AI187" s="283">
        <f>IFERROR(IF(VLOOKUP(功能_33[[#This Row],[功能代號]],E:S,11,FALSE)=0,"",VLOOKUP(功能_33[[#This Row],[功能代號]],E:S,11,FALSE)),"")</f>
        <v>44533</v>
      </c>
      <c r="AJ187" s="283"/>
      <c r="AK187" s="283"/>
      <c r="AL187" s="276"/>
      <c r="AM187" s="283"/>
      <c r="AN187" s="275" t="s">
        <v>176</v>
      </c>
      <c r="AQ187" s="507" t="str">
        <f t="shared" si="18"/>
        <v>6-4</v>
      </c>
      <c r="AR187" s="509" t="str">
        <f t="shared" si="19"/>
        <v/>
      </c>
      <c r="AS187" s="511" t="str">
        <f t="shared" si="20"/>
        <v/>
      </c>
      <c r="AT187" s="513" t="str">
        <f t="shared" si="21"/>
        <v/>
      </c>
      <c r="AU187" s="515" t="str">
        <f t="shared" si="22"/>
        <v/>
      </c>
      <c r="AV187" s="517" t="str">
        <f t="shared" si="23"/>
        <v/>
      </c>
      <c r="AW187" s="589" t="str">
        <f>IFERROR(VLOOKUP(功能_33[[#This Row],[功能代號]],SIT_FT!D:D,1,FALSE),"")</f>
        <v>L6401</v>
      </c>
    </row>
    <row r="188" spans="1:49" ht="13.5" hidden="1" x14ac:dyDescent="0.3">
      <c r="A188" s="561"/>
      <c r="B188" s="374"/>
      <c r="C188" s="276" t="s">
        <v>82</v>
      </c>
      <c r="D188" s="431" t="s">
        <v>2480</v>
      </c>
      <c r="E188" s="275" t="s">
        <v>2872</v>
      </c>
      <c r="F188" s="276" t="s">
        <v>2873</v>
      </c>
      <c r="G188" s="267" t="s">
        <v>2874</v>
      </c>
      <c r="H188" s="275" t="s">
        <v>122</v>
      </c>
      <c r="I188" s="275" t="s">
        <v>300</v>
      </c>
      <c r="J188" s="218" t="s">
        <v>2875</v>
      </c>
      <c r="K188" s="283">
        <v>44568</v>
      </c>
      <c r="L188" s="283">
        <v>44567</v>
      </c>
      <c r="M188" s="283">
        <v>44529</v>
      </c>
      <c r="N188" s="283">
        <v>44520</v>
      </c>
      <c r="O188" s="283">
        <v>44533</v>
      </c>
      <c r="P188" s="275" t="s">
        <v>12</v>
      </c>
      <c r="Q188" s="275" t="s">
        <v>158</v>
      </c>
      <c r="V188" s="275"/>
      <c r="X188" s="275"/>
      <c r="Y188" s="275"/>
      <c r="Z188" s="374" t="str">
        <f>VLOOKUP(功能_33[[#This Row],[User]],SKL放款!A:G,7,FALSE)</f>
        <v>放款服務課</v>
      </c>
      <c r="AA188" s="283">
        <v>44533</v>
      </c>
      <c r="AB188" s="283" t="s">
        <v>2460</v>
      </c>
      <c r="AC188" s="283" t="s">
        <v>2605</v>
      </c>
      <c r="AD188" s="283">
        <v>44544</v>
      </c>
      <c r="AE188" s="283">
        <v>44550</v>
      </c>
      <c r="AF188" s="269"/>
      <c r="AG188" s="269"/>
      <c r="AH188" s="269"/>
      <c r="AI188" s="269">
        <f>IFERROR(IF(VLOOKUP(功能_33[[#This Row],[功能代號]],E:S,11,FALSE)=0,"",VLOOKUP(功能_33[[#This Row],[功能代號]],E:S,11,FALSE)),"")</f>
        <v>44533</v>
      </c>
      <c r="AJ188" s="269"/>
      <c r="AK188" s="269"/>
      <c r="AL188" s="374"/>
      <c r="AN188" s="275" t="s">
        <v>176</v>
      </c>
      <c r="AO188" s="374" t="e">
        <f>VLOOKUP(功能_33[[#This Row],[功能代號]],'[4]20211001'!$A:$J,9,FALSE)</f>
        <v>#N/A</v>
      </c>
      <c r="AQ188" s="562" t="str">
        <f t="shared" si="18"/>
        <v>6-4</v>
      </c>
      <c r="AR188" s="509" t="str">
        <f t="shared" si="19"/>
        <v/>
      </c>
      <c r="AS188" s="511" t="str">
        <f t="shared" si="20"/>
        <v/>
      </c>
      <c r="AT188" s="513" t="str">
        <f t="shared" si="21"/>
        <v/>
      </c>
      <c r="AU188" s="515" t="str">
        <f t="shared" si="22"/>
        <v/>
      </c>
      <c r="AV188" s="517" t="str">
        <f t="shared" si="23"/>
        <v/>
      </c>
      <c r="AW188" s="589" t="str">
        <f>IFERROR(VLOOKUP(功能_33[[#This Row],[功能代號]],SIT_FT!D:D,1,FALSE),"")</f>
        <v>L6943</v>
      </c>
    </row>
    <row r="189" spans="1:49" ht="13.5" hidden="1" x14ac:dyDescent="0.3">
      <c r="C189" s="276" t="s">
        <v>82</v>
      </c>
      <c r="D189" s="431" t="s">
        <v>2480</v>
      </c>
      <c r="E189" s="275" t="s">
        <v>1113</v>
      </c>
      <c r="F189" s="276" t="s">
        <v>1114</v>
      </c>
      <c r="G189" s="276"/>
      <c r="H189" s="275" t="s">
        <v>122</v>
      </c>
      <c r="I189" s="275" t="s">
        <v>300</v>
      </c>
      <c r="J189" s="218" t="s">
        <v>2977</v>
      </c>
      <c r="K189" s="283">
        <v>44568</v>
      </c>
      <c r="L189" s="283">
        <v>44567</v>
      </c>
      <c r="M189" s="283">
        <v>44529</v>
      </c>
      <c r="N189" s="283">
        <v>44529</v>
      </c>
      <c r="O189" s="283">
        <v>44533</v>
      </c>
      <c r="P189" s="275" t="s">
        <v>12</v>
      </c>
      <c r="Q189" s="275" t="s">
        <v>11</v>
      </c>
      <c r="V189" s="275"/>
      <c r="X189" s="275"/>
      <c r="Y189" s="275"/>
      <c r="Z189" s="276" t="str">
        <f>VLOOKUP(功能_33[[#This Row],[User]],SKL放款!A:G,7,FALSE)</f>
        <v>放款服務課</v>
      </c>
      <c r="AA189" s="283">
        <v>44533</v>
      </c>
      <c r="AB189" s="283" t="s">
        <v>2574</v>
      </c>
      <c r="AC189" s="283" t="s">
        <v>2605</v>
      </c>
      <c r="AD189" s="283">
        <v>44544</v>
      </c>
      <c r="AE189" s="215" t="s">
        <v>3009</v>
      </c>
      <c r="AF189" s="283"/>
      <c r="AG189" s="283"/>
      <c r="AH189" s="334"/>
      <c r="AI189" s="283">
        <f>IFERROR(IF(VLOOKUP(功能_33[[#This Row],[功能代號]],E:S,11,FALSE)=0,"",VLOOKUP(功能_33[[#This Row],[功能代號]],E:S,11,FALSE)),"")</f>
        <v>44533</v>
      </c>
      <c r="AJ189" s="283"/>
      <c r="AK189" s="283"/>
      <c r="AL189" s="276"/>
      <c r="AM189" s="283"/>
      <c r="AN189" s="275" t="s">
        <v>176</v>
      </c>
      <c r="AQ189" s="507" t="str">
        <f t="shared" si="18"/>
        <v>6-4</v>
      </c>
      <c r="AR189" s="509" t="str">
        <f t="shared" si="19"/>
        <v/>
      </c>
      <c r="AS189" s="511" t="str">
        <f t="shared" si="20"/>
        <v/>
      </c>
      <c r="AT189" s="513" t="str">
        <f t="shared" si="21"/>
        <v/>
      </c>
      <c r="AU189" s="515" t="str">
        <f t="shared" si="22"/>
        <v/>
      </c>
      <c r="AV189" s="517" t="str">
        <f t="shared" si="23"/>
        <v/>
      </c>
      <c r="AW189" s="589" t="str">
        <f>IFERROR(VLOOKUP(功能_33[[#This Row],[功能代號]],SIT_FT!D:D,1,FALSE),"")</f>
        <v>L6044</v>
      </c>
    </row>
    <row r="190" spans="1:49" ht="13.5" hidden="1" x14ac:dyDescent="0.3">
      <c r="C190" s="276" t="s">
        <v>82</v>
      </c>
      <c r="D190" s="431" t="s">
        <v>2480</v>
      </c>
      <c r="E190" s="275" t="s">
        <v>1115</v>
      </c>
      <c r="F190" s="276" t="s">
        <v>1116</v>
      </c>
      <c r="G190" s="276"/>
      <c r="H190" s="275" t="s">
        <v>179</v>
      </c>
      <c r="I190" s="275" t="s">
        <v>300</v>
      </c>
      <c r="J190" s="218" t="s">
        <v>403</v>
      </c>
      <c r="K190" s="283">
        <v>44568</v>
      </c>
      <c r="L190" s="283">
        <v>44567</v>
      </c>
      <c r="M190" s="283">
        <v>44529</v>
      </c>
      <c r="N190" s="283">
        <v>44529</v>
      </c>
      <c r="O190" s="283">
        <v>44538</v>
      </c>
      <c r="P190" s="275" t="s">
        <v>12</v>
      </c>
      <c r="Q190" s="275" t="s">
        <v>158</v>
      </c>
      <c r="V190" s="275"/>
      <c r="X190" s="275"/>
      <c r="Y190" s="275"/>
      <c r="Z190" s="276" t="str">
        <f>VLOOKUP(功能_33[[#This Row],[User]],SKL放款!A:G,7,FALSE)</f>
        <v>放款服務課</v>
      </c>
      <c r="AA190" s="283">
        <v>44533</v>
      </c>
      <c r="AB190" s="283" t="s">
        <v>119</v>
      </c>
      <c r="AC190" s="283" t="s">
        <v>2605</v>
      </c>
      <c r="AD190" s="283">
        <v>44544</v>
      </c>
      <c r="AE190" s="283">
        <v>44544</v>
      </c>
      <c r="AF190" s="283"/>
      <c r="AG190" s="283"/>
      <c r="AH190" s="334"/>
      <c r="AI190" s="283">
        <f>IFERROR(IF(VLOOKUP(功能_33[[#This Row],[功能代號]],E:S,11,FALSE)=0,"",VLOOKUP(功能_33[[#This Row],[功能代號]],E:S,11,FALSE)),"")</f>
        <v>44538</v>
      </c>
      <c r="AJ190" s="283"/>
      <c r="AK190" s="283"/>
      <c r="AL190" s="276"/>
      <c r="AM190" s="283"/>
      <c r="AN190" s="275" t="s">
        <v>176</v>
      </c>
      <c r="AQ190" s="507" t="str">
        <f t="shared" si="18"/>
        <v>6-4</v>
      </c>
      <c r="AR190" s="509" t="str">
        <f t="shared" si="19"/>
        <v/>
      </c>
      <c r="AS190" s="511" t="str">
        <f t="shared" si="20"/>
        <v/>
      </c>
      <c r="AT190" s="513" t="str">
        <f t="shared" si="21"/>
        <v/>
      </c>
      <c r="AU190" s="515" t="str">
        <f t="shared" si="22"/>
        <v/>
      </c>
      <c r="AV190" s="517" t="str">
        <f t="shared" si="23"/>
        <v/>
      </c>
      <c r="AW190" s="589" t="str">
        <f>IFERROR(VLOOKUP(功能_33[[#This Row],[功能代號]],SIT_FT!D:D,1,FALSE),"")</f>
        <v>L6932</v>
      </c>
    </row>
    <row r="191" spans="1:49" ht="13.5" hidden="1" x14ac:dyDescent="0.3">
      <c r="A191" s="561"/>
      <c r="B191" s="374"/>
      <c r="C191" s="276" t="s">
        <v>82</v>
      </c>
      <c r="D191" s="431" t="s">
        <v>2483</v>
      </c>
      <c r="E191" s="275" t="s">
        <v>2876</v>
      </c>
      <c r="F191" s="267" t="s">
        <v>153</v>
      </c>
      <c r="G191" s="267" t="s">
        <v>2880</v>
      </c>
      <c r="H191" s="275" t="s">
        <v>122</v>
      </c>
      <c r="I191" s="275" t="s">
        <v>123</v>
      </c>
      <c r="J191" s="218" t="s">
        <v>2875</v>
      </c>
      <c r="K191" s="283">
        <v>44575</v>
      </c>
      <c r="L191" s="275"/>
      <c r="M191" s="283">
        <v>44399</v>
      </c>
      <c r="N191" s="283">
        <v>44400</v>
      </c>
      <c r="O191" s="283">
        <v>44412</v>
      </c>
      <c r="P191" s="587" t="s">
        <v>10</v>
      </c>
      <c r="Q191" s="587" t="s">
        <v>11</v>
      </c>
      <c r="V191" s="275"/>
      <c r="X191" s="275"/>
      <c r="Y191" s="275"/>
      <c r="Z191" s="374" t="s">
        <v>1414</v>
      </c>
      <c r="AA191" s="283">
        <v>44470</v>
      </c>
      <c r="AB191" s="283">
        <v>44463</v>
      </c>
      <c r="AC191" s="268">
        <v>44468</v>
      </c>
      <c r="AD191" s="269">
        <v>44468</v>
      </c>
      <c r="AE191" s="269">
        <v>44550</v>
      </c>
      <c r="AF191" s="269" t="s">
        <v>7</v>
      </c>
      <c r="AG191" s="269">
        <v>44483.56527777778</v>
      </c>
      <c r="AH191" s="269">
        <v>44487.745833333327</v>
      </c>
      <c r="AI191" s="269" t="s">
        <v>11</v>
      </c>
      <c r="AJ191" s="269"/>
      <c r="AK191" s="269"/>
      <c r="AL191" s="374"/>
      <c r="AN191" s="587" t="s">
        <v>154</v>
      </c>
      <c r="AO191" s="374" t="s">
        <v>155</v>
      </c>
      <c r="AQ191" s="562" t="str">
        <f t="shared" si="18"/>
        <v>6-7</v>
      </c>
      <c r="AR191" s="509" t="str">
        <f t="shared" si="19"/>
        <v/>
      </c>
      <c r="AS191" s="511" t="str">
        <f t="shared" si="20"/>
        <v/>
      </c>
      <c r="AT191" s="513" t="str">
        <f t="shared" si="21"/>
        <v/>
      </c>
      <c r="AU191" s="515" t="str">
        <f t="shared" si="22"/>
        <v/>
      </c>
      <c r="AV191" s="517" t="str">
        <f t="shared" si="23"/>
        <v/>
      </c>
      <c r="AW191" s="589" t="str">
        <f>IFERROR(VLOOKUP(功能_33[[#This Row],[功能代號]],SIT_FT!D:D,1,FALSE),"")</f>
        <v>L6088</v>
      </c>
    </row>
    <row r="192" spans="1:49" ht="13.5" hidden="1" x14ac:dyDescent="0.3">
      <c r="C192" s="276" t="s">
        <v>80</v>
      </c>
      <c r="D192" s="276" t="s">
        <v>610</v>
      </c>
      <c r="E192" s="220" t="s">
        <v>611</v>
      </c>
      <c r="F192" s="276" t="s">
        <v>612</v>
      </c>
      <c r="G192" s="276"/>
      <c r="H192" s="275" t="s">
        <v>179</v>
      </c>
      <c r="I192" s="275" t="s">
        <v>2449</v>
      </c>
      <c r="J192" s="218" t="s">
        <v>2606</v>
      </c>
      <c r="K192" s="283">
        <v>44575</v>
      </c>
      <c r="L192" s="283">
        <v>44573</v>
      </c>
      <c r="M192" s="283">
        <v>44468</v>
      </c>
      <c r="N192" s="283">
        <v>44468</v>
      </c>
      <c r="O192" s="283">
        <v>44533</v>
      </c>
      <c r="P192" s="275" t="s">
        <v>12</v>
      </c>
      <c r="Q192" s="275" t="s">
        <v>24</v>
      </c>
      <c r="V192" s="275"/>
      <c r="X192" s="275"/>
      <c r="Y192" s="275"/>
      <c r="Z192" s="276" t="str">
        <f>VLOOKUP(功能_33[[#This Row],[User]],SKL放款!A:G,7,FALSE)</f>
        <v>放款服務課</v>
      </c>
      <c r="AA192" s="283">
        <v>44533</v>
      </c>
      <c r="AB192" s="283" t="s">
        <v>2408</v>
      </c>
      <c r="AC192" s="283">
        <v>44531</v>
      </c>
      <c r="AD192" s="283">
        <v>44531</v>
      </c>
      <c r="AE192" s="283">
        <v>44539</v>
      </c>
      <c r="AF192" s="283"/>
      <c r="AG192" s="283"/>
      <c r="AH192" s="334"/>
      <c r="AI192" s="283">
        <f>IFERROR(IF(VLOOKUP(功能_33[[#This Row],[功能代號]],E:S,11,FALSE)=0,"",VLOOKUP(功能_33[[#This Row],[功能代號]],E:S,11,FALSE)),"")</f>
        <v>44533</v>
      </c>
      <c r="AJ192" s="283"/>
      <c r="AK192" s="283"/>
      <c r="AL192" s="276"/>
      <c r="AM192" s="283"/>
      <c r="AN192" s="275" t="s">
        <v>2647</v>
      </c>
      <c r="AO192" s="275" t="s">
        <v>2623</v>
      </c>
      <c r="AQ192" s="507" t="str">
        <f t="shared" si="18"/>
        <v>4-5</v>
      </c>
      <c r="AR192" s="509" t="str">
        <f t="shared" si="19"/>
        <v/>
      </c>
      <c r="AS192" s="511" t="str">
        <f t="shared" si="20"/>
        <v/>
      </c>
      <c r="AT192" s="513" t="str">
        <f t="shared" si="21"/>
        <v/>
      </c>
      <c r="AU192" s="515" t="str">
        <f t="shared" si="22"/>
        <v/>
      </c>
      <c r="AV192" s="517" t="str">
        <f t="shared" si="23"/>
        <v/>
      </c>
      <c r="AW192" s="589" t="str">
        <f>IFERROR(VLOOKUP(功能_33[[#This Row],[功能代號]],SIT_FT!D:D,1,FALSE),"")</f>
        <v>L4500</v>
      </c>
    </row>
    <row r="193" spans="1:49" ht="13.5" hidden="1" x14ac:dyDescent="0.3">
      <c r="C193" s="276" t="s">
        <v>80</v>
      </c>
      <c r="D193" s="276" t="s">
        <v>610</v>
      </c>
      <c r="E193" s="220" t="s">
        <v>613</v>
      </c>
      <c r="F193" s="276" t="s">
        <v>614</v>
      </c>
      <c r="G193" s="276"/>
      <c r="H193" s="275" t="s">
        <v>179</v>
      </c>
      <c r="I193" s="275" t="s">
        <v>2449</v>
      </c>
      <c r="J193" s="218" t="s">
        <v>2606</v>
      </c>
      <c r="K193" s="283">
        <v>44575</v>
      </c>
      <c r="L193" s="283">
        <v>44573</v>
      </c>
      <c r="M193" s="283">
        <v>44468</v>
      </c>
      <c r="N193" s="283">
        <v>44468</v>
      </c>
      <c r="O193" s="283">
        <v>44533</v>
      </c>
      <c r="P193" s="275" t="s">
        <v>12</v>
      </c>
      <c r="Q193" s="275" t="s">
        <v>24</v>
      </c>
      <c r="V193" s="275"/>
      <c r="X193" s="275"/>
      <c r="Y193" s="275"/>
      <c r="Z193" s="276" t="str">
        <f>VLOOKUP(功能_33[[#This Row],[User]],SKL放款!A:G,7,FALSE)</f>
        <v>放款服務課</v>
      </c>
      <c r="AA193" s="283">
        <v>44533</v>
      </c>
      <c r="AB193" s="283" t="s">
        <v>181</v>
      </c>
      <c r="AC193" s="283">
        <v>44531</v>
      </c>
      <c r="AD193" s="283">
        <v>44531</v>
      </c>
      <c r="AE193" s="283">
        <v>44539</v>
      </c>
      <c r="AF193" s="283"/>
      <c r="AG193" s="283"/>
      <c r="AH193" s="334"/>
      <c r="AI193" s="283">
        <f>IFERROR(IF(VLOOKUP(功能_33[[#This Row],[功能代號]],E:S,11,FALSE)=0,"",VLOOKUP(功能_33[[#This Row],[功能代號]],E:S,11,FALSE)),"")</f>
        <v>44533</v>
      </c>
      <c r="AJ193" s="283"/>
      <c r="AK193" s="283"/>
      <c r="AL193" s="276"/>
      <c r="AM193" s="283"/>
      <c r="AN193" s="220" t="s">
        <v>2635</v>
      </c>
      <c r="AO193" s="276" t="s">
        <v>2636</v>
      </c>
      <c r="AQ193" s="507" t="str">
        <f t="shared" ref="AQ193:AQ256" si="24">IF(COUNTA(AE193)=1,LEFT(D193,3),"")</f>
        <v>4-5</v>
      </c>
      <c r="AR193" s="509" t="str">
        <f t="shared" ref="AR193:AR256" si="25">IF(AND(COUNTA(N193)=1,COUNTA(O193)=1,COUNTA(AA193)=1,COUNTA(AD193)=1,COUNTA(AE193)=0),LEFT(D193,3),"")</f>
        <v/>
      </c>
      <c r="AS193" s="511" t="str">
        <f t="shared" ref="AS193:AS256" si="26">IF(AND(COUNTA(N193)=1,COUNTA(O193)=1,COUNTA(AA193)=1,COUNTA(AD193)=0,COUNTA(AE193)=0),LEFT(D193,3),"")</f>
        <v/>
      </c>
      <c r="AT193" s="513" t="str">
        <f t="shared" ref="AT193:AT256" si="27">IF(AND(COUNTA(O193)=0,COUNTA(AA193)=1),LEFT(D193,3),"")</f>
        <v/>
      </c>
      <c r="AU193" s="515" t="str">
        <f t="shared" ref="AU193:AU256" si="28">IF(AND(COUNTA(O193)=1,COUNTA(AA193)=0),LEFT(D193,3),"")</f>
        <v/>
      </c>
      <c r="AV193" s="517" t="str">
        <f t="shared" ref="AV193:AV256" si="29">IF(AND(COUNTA(O193)=0,COUNTA(AA193)=0),LEFT(D193,3),"")</f>
        <v/>
      </c>
      <c r="AW193" s="589" t="str">
        <f>IFERROR(VLOOKUP(功能_33[[#This Row],[功能代號]],SIT_FT!D:D,1,FALSE),"")</f>
        <v>L4950</v>
      </c>
    </row>
    <row r="194" spans="1:49" ht="40.5" hidden="1" x14ac:dyDescent="0.3">
      <c r="C194" s="276" t="s">
        <v>80</v>
      </c>
      <c r="D194" s="276" t="s">
        <v>610</v>
      </c>
      <c r="E194" s="220" t="s">
        <v>615</v>
      </c>
      <c r="F194" s="276" t="s">
        <v>616</v>
      </c>
      <c r="G194" s="276"/>
      <c r="H194" s="275" t="s">
        <v>179</v>
      </c>
      <c r="I194" s="275" t="s">
        <v>2449</v>
      </c>
      <c r="J194" s="218" t="s">
        <v>2606</v>
      </c>
      <c r="K194" s="283">
        <v>44575</v>
      </c>
      <c r="L194" s="275"/>
      <c r="M194" s="283">
        <v>44468</v>
      </c>
      <c r="N194" s="283">
        <v>44468</v>
      </c>
      <c r="O194" s="283">
        <v>44533</v>
      </c>
      <c r="P194" s="275" t="s">
        <v>12</v>
      </c>
      <c r="Q194" s="275" t="s">
        <v>24</v>
      </c>
      <c r="V194" s="275"/>
      <c r="X194" s="275"/>
      <c r="Y194" s="275"/>
      <c r="Z194" s="276" t="str">
        <f>VLOOKUP(功能_33[[#This Row],[User]],SKL放款!A:G,7,FALSE)</f>
        <v>放款服務課</v>
      </c>
      <c r="AA194" s="283">
        <v>44533</v>
      </c>
      <c r="AB194" s="283" t="s">
        <v>119</v>
      </c>
      <c r="AC194" s="283">
        <v>44531</v>
      </c>
      <c r="AD194" s="283">
        <v>44531</v>
      </c>
      <c r="AE194" s="283">
        <v>44539</v>
      </c>
      <c r="AF194" s="283"/>
      <c r="AG194" s="283"/>
      <c r="AH194" s="334"/>
      <c r="AI194" s="283">
        <f>IFERROR(IF(VLOOKUP(功能_33[[#This Row],[功能代號]],E:S,11,FALSE)=0,"",VLOOKUP(功能_33[[#This Row],[功能代號]],E:S,11,FALSE)),"")</f>
        <v>44533</v>
      </c>
      <c r="AJ194" s="283"/>
      <c r="AK194" s="283"/>
      <c r="AL194" s="276"/>
      <c r="AM194" s="283"/>
      <c r="AN194" s="292" t="s">
        <v>2637</v>
      </c>
      <c r="AO194" s="212" t="s">
        <v>2638</v>
      </c>
      <c r="AQ194" s="507" t="str">
        <f t="shared" si="24"/>
        <v>4-5</v>
      </c>
      <c r="AR194" s="509" t="str">
        <f t="shared" si="25"/>
        <v/>
      </c>
      <c r="AS194" s="511" t="str">
        <f t="shared" si="26"/>
        <v/>
      </c>
      <c r="AT194" s="513" t="str">
        <f t="shared" si="27"/>
        <v/>
      </c>
      <c r="AU194" s="515" t="str">
        <f t="shared" si="28"/>
        <v/>
      </c>
      <c r="AV194" s="517" t="str">
        <f t="shared" si="29"/>
        <v/>
      </c>
      <c r="AW194" s="589" t="str">
        <f>IFERROR(VLOOKUP(功能_33[[#This Row],[功能代號]],SIT_FT!D:D,1,FALSE),"")</f>
        <v>L4510</v>
      </c>
    </row>
    <row r="195" spans="1:49" ht="13.5" hidden="1" x14ac:dyDescent="0.3">
      <c r="C195" s="276" t="s">
        <v>80</v>
      </c>
      <c r="D195" s="276" t="s">
        <v>610</v>
      </c>
      <c r="E195" s="220" t="s">
        <v>617</v>
      </c>
      <c r="F195" s="276" t="s">
        <v>618</v>
      </c>
      <c r="G195" s="276"/>
      <c r="H195" s="275" t="s">
        <v>179</v>
      </c>
      <c r="I195" s="275" t="s">
        <v>2449</v>
      </c>
      <c r="J195" s="218" t="s">
        <v>2606</v>
      </c>
      <c r="K195" s="283">
        <v>44575</v>
      </c>
      <c r="L195" s="275"/>
      <c r="M195" s="283">
        <v>44468</v>
      </c>
      <c r="N195" s="283">
        <v>44468</v>
      </c>
      <c r="O195" s="283">
        <v>44533</v>
      </c>
      <c r="P195" s="275" t="s">
        <v>12</v>
      </c>
      <c r="Q195" s="275" t="s">
        <v>24</v>
      </c>
      <c r="V195" s="275"/>
      <c r="X195" s="275"/>
      <c r="Y195" s="275"/>
      <c r="Z195" s="276" t="str">
        <f>VLOOKUP(功能_33[[#This Row],[User]],SKL放款!A:G,7,FALSE)</f>
        <v>放款服務課</v>
      </c>
      <c r="AA195" s="283">
        <v>44533</v>
      </c>
      <c r="AB195" s="283" t="s">
        <v>181</v>
      </c>
      <c r="AC195" s="283">
        <v>44531</v>
      </c>
      <c r="AD195" s="283">
        <v>44531</v>
      </c>
      <c r="AE195" s="283">
        <v>44539</v>
      </c>
      <c r="AF195" s="283"/>
      <c r="AG195" s="283"/>
      <c r="AH195" s="334"/>
      <c r="AI195" s="283">
        <f>IFERROR(IF(VLOOKUP(功能_33[[#This Row],[功能代號]],E:S,11,FALSE)=0,"",VLOOKUP(功能_33[[#This Row],[功能代號]],E:S,11,FALSE)),"")</f>
        <v>44533</v>
      </c>
      <c r="AJ195" s="283"/>
      <c r="AK195" s="283"/>
      <c r="AL195" s="276"/>
      <c r="AM195" s="283"/>
      <c r="AN195" s="220" t="s">
        <v>2639</v>
      </c>
      <c r="AO195" s="276" t="s">
        <v>2640</v>
      </c>
      <c r="AQ195" s="507" t="str">
        <f t="shared" si="24"/>
        <v>4-5</v>
      </c>
      <c r="AR195" s="509" t="str">
        <f t="shared" si="25"/>
        <v/>
      </c>
      <c r="AS195" s="511" t="str">
        <f t="shared" si="26"/>
        <v/>
      </c>
      <c r="AT195" s="513" t="str">
        <f t="shared" si="27"/>
        <v/>
      </c>
      <c r="AU195" s="515" t="str">
        <f t="shared" si="28"/>
        <v/>
      </c>
      <c r="AV195" s="517" t="str">
        <f t="shared" si="29"/>
        <v/>
      </c>
      <c r="AW195" s="589" t="str">
        <f>IFERROR(VLOOKUP(功能_33[[#This Row],[功能代號]],SIT_FT!D:D,1,FALSE),"")</f>
        <v>L4951</v>
      </c>
    </row>
    <row r="196" spans="1:49" ht="13.5" hidden="1" x14ac:dyDescent="0.3">
      <c r="C196" s="276" t="s">
        <v>80</v>
      </c>
      <c r="D196" s="276" t="s">
        <v>610</v>
      </c>
      <c r="E196" s="220" t="s">
        <v>619</v>
      </c>
      <c r="F196" s="276" t="s">
        <v>620</v>
      </c>
      <c r="G196" s="276"/>
      <c r="H196" s="275" t="s">
        <v>179</v>
      </c>
      <c r="I196" s="275" t="s">
        <v>2449</v>
      </c>
      <c r="J196" s="218" t="s">
        <v>2606</v>
      </c>
      <c r="K196" s="283">
        <v>44575</v>
      </c>
      <c r="L196" s="275"/>
      <c r="M196" s="283">
        <v>44468</v>
      </c>
      <c r="N196" s="283">
        <v>44468</v>
      </c>
      <c r="O196" s="283">
        <v>44533</v>
      </c>
      <c r="P196" s="275" t="s">
        <v>12</v>
      </c>
      <c r="Q196" s="275" t="s">
        <v>24</v>
      </c>
      <c r="V196" s="275"/>
      <c r="X196" s="275"/>
      <c r="Y196" s="275"/>
      <c r="Z196" s="276" t="str">
        <f>VLOOKUP(功能_33[[#This Row],[User]],SKL放款!A:G,7,FALSE)</f>
        <v>放款服務課</v>
      </c>
      <c r="AA196" s="283">
        <v>44533</v>
      </c>
      <c r="AB196" s="283" t="s">
        <v>181</v>
      </c>
      <c r="AC196" s="283">
        <v>44531</v>
      </c>
      <c r="AD196" s="283">
        <v>44531</v>
      </c>
      <c r="AE196" s="283">
        <v>44539</v>
      </c>
      <c r="AF196" s="283"/>
      <c r="AG196" s="283"/>
      <c r="AH196" s="334"/>
      <c r="AI196" s="283">
        <f>IFERROR(IF(VLOOKUP(功能_33[[#This Row],[功能代號]],E:S,11,FALSE)=0,"",VLOOKUP(功能_33[[#This Row],[功能代號]],E:S,11,FALSE)),"")</f>
        <v>44533</v>
      </c>
      <c r="AJ196" s="283"/>
      <c r="AK196" s="283"/>
      <c r="AL196" s="276"/>
      <c r="AM196" s="283"/>
      <c r="AN196" s="220" t="s">
        <v>2641</v>
      </c>
      <c r="AO196" s="276" t="s">
        <v>2642</v>
      </c>
      <c r="AQ196" s="507" t="str">
        <f t="shared" si="24"/>
        <v>4-5</v>
      </c>
      <c r="AR196" s="509" t="str">
        <f t="shared" si="25"/>
        <v/>
      </c>
      <c r="AS196" s="511" t="str">
        <f t="shared" si="26"/>
        <v/>
      </c>
      <c r="AT196" s="513" t="str">
        <f t="shared" si="27"/>
        <v/>
      </c>
      <c r="AU196" s="515" t="str">
        <f t="shared" si="28"/>
        <v/>
      </c>
      <c r="AV196" s="517" t="str">
        <f t="shared" si="29"/>
        <v/>
      </c>
      <c r="AW196" s="589" t="str">
        <f>IFERROR(VLOOKUP(功能_33[[#This Row],[功能代號]],SIT_FT!D:D,1,FALSE),"")</f>
        <v>L4512</v>
      </c>
    </row>
    <row r="197" spans="1:49" ht="40.5" hidden="1" x14ac:dyDescent="0.3">
      <c r="C197" s="276" t="s">
        <v>80</v>
      </c>
      <c r="D197" s="276" t="s">
        <v>610</v>
      </c>
      <c r="E197" s="220" t="s">
        <v>621</v>
      </c>
      <c r="F197" s="276" t="s">
        <v>622</v>
      </c>
      <c r="G197" s="276"/>
      <c r="H197" s="275" t="s">
        <v>179</v>
      </c>
      <c r="I197" s="275" t="s">
        <v>2449</v>
      </c>
      <c r="J197" s="218" t="s">
        <v>2606</v>
      </c>
      <c r="K197" s="283">
        <v>44578</v>
      </c>
      <c r="L197" s="275"/>
      <c r="M197" s="283">
        <v>44468</v>
      </c>
      <c r="N197" s="283">
        <v>44468</v>
      </c>
      <c r="O197" s="283">
        <v>44533</v>
      </c>
      <c r="P197" s="275" t="s">
        <v>12</v>
      </c>
      <c r="Q197" s="275" t="s">
        <v>24</v>
      </c>
      <c r="V197" s="275"/>
      <c r="X197" s="275"/>
      <c r="Y197" s="275"/>
      <c r="Z197" s="276" t="str">
        <f>VLOOKUP(功能_33[[#This Row],[User]],SKL放款!A:G,7,FALSE)</f>
        <v>放款服務課</v>
      </c>
      <c r="AA197" s="283">
        <v>44533</v>
      </c>
      <c r="AB197" s="283" t="s">
        <v>119</v>
      </c>
      <c r="AC197" s="283">
        <v>44531</v>
      </c>
      <c r="AD197" s="283">
        <v>44531</v>
      </c>
      <c r="AE197" s="283">
        <v>44539</v>
      </c>
      <c r="AF197" s="283"/>
      <c r="AG197" s="283"/>
      <c r="AH197" s="334"/>
      <c r="AI197" s="283">
        <f>IFERROR(IF(VLOOKUP(功能_33[[#This Row],[功能代號]],E:S,11,FALSE)=0,"",VLOOKUP(功能_33[[#This Row],[功能代號]],E:S,11,FALSE)),"")</f>
        <v>44533</v>
      </c>
      <c r="AJ197" s="283"/>
      <c r="AK197" s="283"/>
      <c r="AL197" s="276"/>
      <c r="AM197" s="283"/>
      <c r="AN197" s="292" t="s">
        <v>2643</v>
      </c>
      <c r="AO197" s="212" t="s">
        <v>2644</v>
      </c>
      <c r="AQ197" s="507" t="str">
        <f t="shared" si="24"/>
        <v>4-5</v>
      </c>
      <c r="AR197" s="509" t="str">
        <f t="shared" si="25"/>
        <v/>
      </c>
      <c r="AS197" s="511" t="str">
        <f t="shared" si="26"/>
        <v/>
      </c>
      <c r="AT197" s="513" t="str">
        <f t="shared" si="27"/>
        <v/>
      </c>
      <c r="AU197" s="515" t="str">
        <f t="shared" si="28"/>
        <v/>
      </c>
      <c r="AV197" s="517" t="str">
        <f t="shared" si="29"/>
        <v/>
      </c>
      <c r="AW197" s="589" t="str">
        <f>IFERROR(VLOOKUP(功能_33[[#This Row],[功能代號]],SIT_FT!D:D,1,FALSE),"")</f>
        <v>L4511</v>
      </c>
    </row>
    <row r="198" spans="1:49" ht="94.5" hidden="1" x14ac:dyDescent="0.3">
      <c r="C198" s="276" t="s">
        <v>80</v>
      </c>
      <c r="D198" s="276" t="s">
        <v>396</v>
      </c>
      <c r="E198" s="275" t="s">
        <v>623</v>
      </c>
      <c r="F198" s="276" t="s">
        <v>624</v>
      </c>
      <c r="G198" s="276"/>
      <c r="H198" s="275" t="s">
        <v>179</v>
      </c>
      <c r="I198" s="275" t="s">
        <v>2449</v>
      </c>
      <c r="J198" s="218" t="s">
        <v>2606</v>
      </c>
      <c r="K198" s="283">
        <v>44578</v>
      </c>
      <c r="L198" s="275"/>
      <c r="M198" s="283">
        <v>44469</v>
      </c>
      <c r="N198" s="283">
        <v>44468</v>
      </c>
      <c r="O198" s="283">
        <v>44523</v>
      </c>
      <c r="P198" s="275" t="s">
        <v>8</v>
      </c>
      <c r="Q198" s="275" t="s">
        <v>11</v>
      </c>
      <c r="V198" s="275"/>
      <c r="X198" s="275"/>
      <c r="Y198" s="275"/>
      <c r="Z198" s="276" t="str">
        <f>VLOOKUP(功能_33[[#This Row],[User]],SKL放款!A:G,7,FALSE)</f>
        <v>放款服務課</v>
      </c>
      <c r="AA198" s="283">
        <v>44533</v>
      </c>
      <c r="AB198" s="283" t="s">
        <v>119</v>
      </c>
      <c r="AC198" s="283">
        <v>44523</v>
      </c>
      <c r="AD198" s="283">
        <v>44525</v>
      </c>
      <c r="AE198" s="283">
        <v>44539</v>
      </c>
      <c r="AF198" s="283"/>
      <c r="AG198" s="283"/>
      <c r="AH198" s="334"/>
      <c r="AI198" s="283">
        <f>IFERROR(IF(VLOOKUP(功能_33[[#This Row],[功能代號]],E:S,11,FALSE)=0,"",VLOOKUP(功能_33[[#This Row],[功能代號]],E:S,11,FALSE)),"")</f>
        <v>44523</v>
      </c>
      <c r="AJ198" s="283"/>
      <c r="AK198" s="283"/>
      <c r="AL198" s="276"/>
      <c r="AM198" s="217" t="s">
        <v>625</v>
      </c>
      <c r="AN198" s="292" t="s">
        <v>2658</v>
      </c>
      <c r="AO198" s="212" t="s">
        <v>2659</v>
      </c>
      <c r="AQ198" s="507" t="str">
        <f t="shared" si="24"/>
        <v>4-2</v>
      </c>
      <c r="AR198" s="509" t="str">
        <f t="shared" si="25"/>
        <v/>
      </c>
      <c r="AS198" s="511" t="str">
        <f t="shared" si="26"/>
        <v/>
      </c>
      <c r="AT198" s="513" t="str">
        <f t="shared" si="27"/>
        <v/>
      </c>
      <c r="AU198" s="515" t="str">
        <f t="shared" si="28"/>
        <v/>
      </c>
      <c r="AV198" s="517" t="str">
        <f t="shared" si="29"/>
        <v/>
      </c>
      <c r="AW198" s="589" t="str">
        <f>IFERROR(VLOOKUP(功能_33[[#This Row],[功能代號]],SIT_FT!D:D,1,FALSE),"")</f>
        <v>L4200</v>
      </c>
    </row>
    <row r="199" spans="1:49" ht="27" hidden="1" x14ac:dyDescent="0.3">
      <c r="A199" s="537">
        <v>44558</v>
      </c>
      <c r="C199" s="276" t="s">
        <v>80</v>
      </c>
      <c r="D199" s="276" t="s">
        <v>610</v>
      </c>
      <c r="E199" s="220" t="s">
        <v>626</v>
      </c>
      <c r="F199" s="276" t="s">
        <v>627</v>
      </c>
      <c r="G199" s="276"/>
      <c r="H199" s="275" t="s">
        <v>179</v>
      </c>
      <c r="I199" s="275" t="s">
        <v>2449</v>
      </c>
      <c r="J199" s="218" t="s">
        <v>3000</v>
      </c>
      <c r="K199" s="283">
        <v>44578</v>
      </c>
      <c r="L199" s="275"/>
      <c r="M199" s="283">
        <v>44473</v>
      </c>
      <c r="N199" s="283">
        <v>44468</v>
      </c>
      <c r="O199" s="221">
        <v>44550</v>
      </c>
      <c r="P199" s="275" t="s">
        <v>12</v>
      </c>
      <c r="Q199" s="275" t="s">
        <v>24</v>
      </c>
      <c r="V199" s="275"/>
      <c r="X199" s="275"/>
      <c r="Y199" s="275"/>
      <c r="Z199" s="276" t="str">
        <f>VLOOKUP(功能_33[[#This Row],[User]],SKL放款!A:G,7,FALSE)</f>
        <v>放款服務課</v>
      </c>
      <c r="AA199" s="221">
        <v>44550</v>
      </c>
      <c r="AB199" s="283" t="s">
        <v>119</v>
      </c>
      <c r="AC199" s="283">
        <v>44531</v>
      </c>
      <c r="AD199" s="283">
        <v>44531</v>
      </c>
      <c r="AE199" s="283" t="s">
        <v>3003</v>
      </c>
      <c r="AF199" s="283"/>
      <c r="AG199" s="283"/>
      <c r="AH199" s="334"/>
      <c r="AI199" s="283">
        <f>IFERROR(IF(VLOOKUP(功能_33[[#This Row],[功能代號]],E:S,11,FALSE)=0,"",VLOOKUP(功能_33[[#This Row],[功能代號]],E:S,11,FALSE)),"")</f>
        <v>44550</v>
      </c>
      <c r="AJ199" s="283"/>
      <c r="AK199" s="283"/>
      <c r="AL199" s="276"/>
      <c r="AM199" s="283"/>
      <c r="AN199" s="213" t="s">
        <v>2645</v>
      </c>
      <c r="AO199" s="276" t="s">
        <v>2646</v>
      </c>
      <c r="AQ199" s="507" t="str">
        <f t="shared" si="24"/>
        <v>4-5</v>
      </c>
      <c r="AR199" s="509" t="str">
        <f t="shared" si="25"/>
        <v/>
      </c>
      <c r="AS199" s="511" t="str">
        <f t="shared" si="26"/>
        <v/>
      </c>
      <c r="AT199" s="513" t="str">
        <f t="shared" si="27"/>
        <v/>
      </c>
      <c r="AU199" s="515" t="str">
        <f t="shared" si="28"/>
        <v/>
      </c>
      <c r="AV199" s="517" t="str">
        <f t="shared" si="29"/>
        <v/>
      </c>
      <c r="AW199" s="589" t="str">
        <f>IFERROR(VLOOKUP(功能_33[[#This Row],[功能代號]],SIT_FT!D:D,1,FALSE),"")</f>
        <v>L4520</v>
      </c>
    </row>
    <row r="200" spans="1:49" ht="13.5" hidden="1" x14ac:dyDescent="0.3">
      <c r="C200" s="276" t="s">
        <v>80</v>
      </c>
      <c r="D200" s="276" t="s">
        <v>628</v>
      </c>
      <c r="E200" s="275" t="s">
        <v>629</v>
      </c>
      <c r="F200" s="276" t="s">
        <v>630</v>
      </c>
      <c r="G200" s="276"/>
      <c r="H200" s="275" t="s">
        <v>179</v>
      </c>
      <c r="I200" s="275" t="s">
        <v>2449</v>
      </c>
      <c r="J200" s="218" t="s">
        <v>2606</v>
      </c>
      <c r="K200" s="283">
        <v>44578</v>
      </c>
      <c r="L200" s="275"/>
      <c r="M200" s="283">
        <v>44473</v>
      </c>
      <c r="N200" s="283">
        <v>44468</v>
      </c>
      <c r="O200" s="283">
        <v>44379</v>
      </c>
      <c r="P200" s="275" t="s">
        <v>8</v>
      </c>
      <c r="Q200" s="275" t="s">
        <v>24</v>
      </c>
      <c r="V200" s="275"/>
      <c r="X200" s="275"/>
      <c r="Y200" s="275"/>
      <c r="Z200" s="276" t="str">
        <f>VLOOKUP(功能_33[[#This Row],[User]],SKL放款!A:G,7,FALSE)</f>
        <v>放款服務課</v>
      </c>
      <c r="AA200" s="283">
        <v>44533</v>
      </c>
      <c r="AB200" s="283" t="s">
        <v>181</v>
      </c>
      <c r="AC200" s="283">
        <v>44531</v>
      </c>
      <c r="AD200" s="283">
        <v>44531</v>
      </c>
      <c r="AE200" s="283">
        <v>44539</v>
      </c>
      <c r="AF200" s="283"/>
      <c r="AG200" s="283"/>
      <c r="AH200" s="334"/>
      <c r="AI200" s="283">
        <f>IFERROR(IF(VLOOKUP(功能_33[[#This Row],[功能代號]],E:S,11,FALSE)=0,"",VLOOKUP(功能_33[[#This Row],[功能代號]],E:S,11,FALSE)),"")</f>
        <v>44379</v>
      </c>
      <c r="AJ200" s="283"/>
      <c r="AK200" s="283"/>
      <c r="AL200" s="276"/>
      <c r="AM200" s="283"/>
      <c r="AN200" s="275" t="s">
        <v>2623</v>
      </c>
      <c r="AO200" s="275" t="s">
        <v>2623</v>
      </c>
      <c r="AQ200" s="507" t="str">
        <f t="shared" si="24"/>
        <v>4-5</v>
      </c>
      <c r="AR200" s="509" t="str">
        <f t="shared" si="25"/>
        <v/>
      </c>
      <c r="AS200" s="511" t="str">
        <f t="shared" si="26"/>
        <v/>
      </c>
      <c r="AT200" s="513" t="str">
        <f t="shared" si="27"/>
        <v/>
      </c>
      <c r="AU200" s="515" t="str">
        <f t="shared" si="28"/>
        <v/>
      </c>
      <c r="AV200" s="517" t="str">
        <f t="shared" si="29"/>
        <v/>
      </c>
      <c r="AW200" s="589" t="str">
        <f>IFERROR(VLOOKUP(功能_33[[#This Row],[功能代號]],SIT_FT!D:D,1,FALSE),"")</f>
        <v>L4204</v>
      </c>
    </row>
    <row r="201" spans="1:49" ht="13.5" hidden="1" x14ac:dyDescent="0.3">
      <c r="C201" s="276" t="s">
        <v>80</v>
      </c>
      <c r="D201" s="276" t="s">
        <v>396</v>
      </c>
      <c r="E201" s="275" t="s">
        <v>631</v>
      </c>
      <c r="F201" s="276" t="s">
        <v>632</v>
      </c>
      <c r="G201" s="276"/>
      <c r="H201" s="275" t="s">
        <v>179</v>
      </c>
      <c r="I201" s="275" t="s">
        <v>2449</v>
      </c>
      <c r="J201" s="218" t="s">
        <v>2606</v>
      </c>
      <c r="K201" s="283">
        <v>44578</v>
      </c>
      <c r="L201" s="275"/>
      <c r="M201" s="283">
        <v>44470</v>
      </c>
      <c r="N201" s="283">
        <v>44470</v>
      </c>
      <c r="O201" s="283">
        <v>44523</v>
      </c>
      <c r="P201" s="275" t="s">
        <v>8</v>
      </c>
      <c r="Q201" s="275" t="s">
        <v>24</v>
      </c>
      <c r="V201" s="275"/>
      <c r="X201" s="275"/>
      <c r="Y201" s="275"/>
      <c r="Z201" s="276" t="str">
        <f>VLOOKUP(功能_33[[#This Row],[User]],SKL放款!A:G,7,FALSE)</f>
        <v>放款服務課</v>
      </c>
      <c r="AA201" s="283">
        <v>44533</v>
      </c>
      <c r="AB201" s="283">
        <v>44524</v>
      </c>
      <c r="AC201" s="283">
        <v>44524</v>
      </c>
      <c r="AD201" s="283">
        <v>44524</v>
      </c>
      <c r="AE201" s="283">
        <v>44539</v>
      </c>
      <c r="AF201" s="283"/>
      <c r="AG201" s="283"/>
      <c r="AH201" s="334"/>
      <c r="AI201" s="283">
        <f>IFERROR(IF(VLOOKUP(功能_33[[#This Row],[功能代號]],E:S,11,FALSE)=0,"",VLOOKUP(功能_33[[#This Row],[功能代號]],E:S,11,FALSE)),"")</f>
        <v>44523</v>
      </c>
      <c r="AJ201" s="283"/>
      <c r="AK201" s="283"/>
      <c r="AL201" s="276"/>
      <c r="AM201" s="283"/>
      <c r="AN201" s="275" t="s">
        <v>2623</v>
      </c>
      <c r="AO201" s="275" t="s">
        <v>2623</v>
      </c>
      <c r="AQ201" s="507" t="str">
        <f t="shared" si="24"/>
        <v>4-2</v>
      </c>
      <c r="AR201" s="509" t="str">
        <f t="shared" si="25"/>
        <v/>
      </c>
      <c r="AS201" s="511" t="str">
        <f t="shared" si="26"/>
        <v/>
      </c>
      <c r="AT201" s="513" t="str">
        <f t="shared" si="27"/>
        <v/>
      </c>
      <c r="AU201" s="515" t="str">
        <f t="shared" si="28"/>
        <v/>
      </c>
      <c r="AV201" s="517" t="str">
        <f t="shared" si="29"/>
        <v/>
      </c>
      <c r="AW201" s="589" t="str">
        <f>IFERROR(VLOOKUP(功能_33[[#This Row],[功能代號]],SIT_FT!D:D,1,FALSE),"")</f>
        <v>L4205</v>
      </c>
    </row>
    <row r="202" spans="1:49" ht="121.5" hidden="1" x14ac:dyDescent="0.3">
      <c r="C202" s="276" t="s">
        <v>80</v>
      </c>
      <c r="D202" s="276" t="s">
        <v>396</v>
      </c>
      <c r="E202" s="275" t="s">
        <v>633</v>
      </c>
      <c r="F202" s="276" t="s">
        <v>634</v>
      </c>
      <c r="G202" s="276"/>
      <c r="H202" s="275" t="s">
        <v>179</v>
      </c>
      <c r="I202" s="275" t="s">
        <v>2449</v>
      </c>
      <c r="J202" s="218" t="s">
        <v>2606</v>
      </c>
      <c r="K202" s="283">
        <v>44578</v>
      </c>
      <c r="L202" s="275"/>
      <c r="M202" s="283">
        <v>44469</v>
      </c>
      <c r="N202" s="251">
        <v>44484</v>
      </c>
      <c r="O202" s="283">
        <v>44523</v>
      </c>
      <c r="P202" s="275" t="s">
        <v>8</v>
      </c>
      <c r="Q202" s="275" t="s">
        <v>11</v>
      </c>
      <c r="R202" s="258" t="s">
        <v>23</v>
      </c>
      <c r="V202" s="275"/>
      <c r="X202" s="275"/>
      <c r="Y202" s="275"/>
      <c r="Z202" s="276" t="str">
        <f>VLOOKUP(功能_33[[#This Row],[User]],SKL放款!A:G,7,FALSE)</f>
        <v>放款服務課</v>
      </c>
      <c r="AA202" s="283">
        <v>44533</v>
      </c>
      <c r="AB202" s="283" t="s">
        <v>119</v>
      </c>
      <c r="AC202" s="283">
        <v>44523</v>
      </c>
      <c r="AD202" s="283">
        <v>44525</v>
      </c>
      <c r="AE202" s="283">
        <v>44539</v>
      </c>
      <c r="AF202" s="283"/>
      <c r="AG202" s="283"/>
      <c r="AH202" s="334"/>
      <c r="AI202" s="283">
        <f>IFERROR(IF(VLOOKUP(功能_33[[#This Row],[功能代號]],E:S,11,FALSE)=0,"",VLOOKUP(功能_33[[#This Row],[功能代號]],E:S,11,FALSE)),"")</f>
        <v>44523</v>
      </c>
      <c r="AJ202" s="283"/>
      <c r="AK202" s="283"/>
      <c r="AL202" s="276"/>
      <c r="AM202" s="217" t="s">
        <v>635</v>
      </c>
      <c r="AN202" s="292" t="s">
        <v>2660</v>
      </c>
      <c r="AO202" s="212" t="s">
        <v>2661</v>
      </c>
      <c r="AQ202" s="507" t="str">
        <f t="shared" si="24"/>
        <v>4-2</v>
      </c>
      <c r="AR202" s="509" t="str">
        <f t="shared" si="25"/>
        <v/>
      </c>
      <c r="AS202" s="511" t="str">
        <f t="shared" si="26"/>
        <v/>
      </c>
      <c r="AT202" s="513" t="str">
        <f t="shared" si="27"/>
        <v/>
      </c>
      <c r="AU202" s="515" t="str">
        <f t="shared" si="28"/>
        <v/>
      </c>
      <c r="AV202" s="517" t="str">
        <f t="shared" si="29"/>
        <v/>
      </c>
      <c r="AW202" s="589" t="str">
        <f>IFERROR(VLOOKUP(功能_33[[#This Row],[功能代號]],SIT_FT!D:D,1,FALSE),"")</f>
        <v>L4002</v>
      </c>
    </row>
    <row r="203" spans="1:49" ht="13.5" hidden="1" x14ac:dyDescent="0.3">
      <c r="C203" s="276" t="s">
        <v>80</v>
      </c>
      <c r="D203" s="276" t="s">
        <v>396</v>
      </c>
      <c r="E203" s="275" t="s">
        <v>636</v>
      </c>
      <c r="F203" s="276" t="s">
        <v>637</v>
      </c>
      <c r="G203" s="276"/>
      <c r="H203" s="275" t="s">
        <v>179</v>
      </c>
      <c r="I203" s="275" t="s">
        <v>2449</v>
      </c>
      <c r="J203" s="218" t="s">
        <v>2606</v>
      </c>
      <c r="K203" s="283">
        <v>44579</v>
      </c>
      <c r="L203" s="275"/>
      <c r="M203" s="283">
        <v>44469</v>
      </c>
      <c r="N203" s="283">
        <v>44484</v>
      </c>
      <c r="O203" s="283">
        <v>44523</v>
      </c>
      <c r="P203" s="275" t="s">
        <v>8</v>
      </c>
      <c r="Q203" s="275" t="s">
        <v>22</v>
      </c>
      <c r="V203" s="275"/>
      <c r="X203" s="275"/>
      <c r="Y203" s="275"/>
      <c r="Z203" s="276" t="str">
        <f>VLOOKUP(功能_33[[#This Row],[User]],SKL放款!A:G,7,FALSE)</f>
        <v>放款服務課</v>
      </c>
      <c r="AA203" s="283">
        <v>44533</v>
      </c>
      <c r="AB203" s="283" t="s">
        <v>181</v>
      </c>
      <c r="AC203" s="283">
        <v>44523</v>
      </c>
      <c r="AD203" s="283">
        <v>44525</v>
      </c>
      <c r="AE203" s="283">
        <v>44539</v>
      </c>
      <c r="AF203" s="283"/>
      <c r="AG203" s="283"/>
      <c r="AH203" s="334"/>
      <c r="AI203" s="283">
        <f>IFERROR(IF(VLOOKUP(功能_33[[#This Row],[功能代號]],E:S,11,FALSE)=0,"",VLOOKUP(功能_33[[#This Row],[功能代號]],E:S,11,FALSE)),"")</f>
        <v>44523</v>
      </c>
      <c r="AJ203" s="283"/>
      <c r="AK203" s="283"/>
      <c r="AL203" s="276"/>
      <c r="AM203" s="283"/>
      <c r="AN203" s="275" t="s">
        <v>2623</v>
      </c>
      <c r="AO203" s="275" t="s">
        <v>2623</v>
      </c>
      <c r="AQ203" s="507" t="str">
        <f t="shared" si="24"/>
        <v>4-2</v>
      </c>
      <c r="AR203" s="509" t="str">
        <f t="shared" si="25"/>
        <v/>
      </c>
      <c r="AS203" s="511" t="str">
        <f t="shared" si="26"/>
        <v/>
      </c>
      <c r="AT203" s="513" t="str">
        <f t="shared" si="27"/>
        <v/>
      </c>
      <c r="AU203" s="515" t="str">
        <f t="shared" si="28"/>
        <v/>
      </c>
      <c r="AV203" s="517" t="str">
        <f t="shared" si="29"/>
        <v/>
      </c>
      <c r="AW203" s="589" t="str">
        <f>IFERROR(VLOOKUP(功能_33[[#This Row],[功能代號]],SIT_FT!D:D,1,FALSE),"")</f>
        <v>L420A</v>
      </c>
    </row>
    <row r="204" spans="1:49" ht="13.5" hidden="1" x14ac:dyDescent="0.3">
      <c r="C204" s="276" t="s">
        <v>80</v>
      </c>
      <c r="D204" s="276" t="s">
        <v>396</v>
      </c>
      <c r="E204" s="275" t="s">
        <v>638</v>
      </c>
      <c r="F204" s="276" t="s">
        <v>639</v>
      </c>
      <c r="G204" s="276"/>
      <c r="H204" s="275" t="s">
        <v>179</v>
      </c>
      <c r="I204" s="275" t="s">
        <v>2449</v>
      </c>
      <c r="J204" s="218" t="s">
        <v>2606</v>
      </c>
      <c r="K204" s="283">
        <v>44579</v>
      </c>
      <c r="L204" s="275"/>
      <c r="M204" s="283">
        <v>44469</v>
      </c>
      <c r="N204" s="283">
        <v>44484</v>
      </c>
      <c r="O204" s="283">
        <v>44523</v>
      </c>
      <c r="P204" s="275" t="s">
        <v>8</v>
      </c>
      <c r="Q204" s="275" t="s">
        <v>22</v>
      </c>
      <c r="V204" s="275"/>
      <c r="X204" s="275"/>
      <c r="Y204" s="275"/>
      <c r="Z204" s="276" t="str">
        <f>VLOOKUP(功能_33[[#This Row],[User]],SKL放款!A:G,7,FALSE)</f>
        <v>放款服務課</v>
      </c>
      <c r="AA204" s="283">
        <v>44533</v>
      </c>
      <c r="AB204" s="283" t="s">
        <v>181</v>
      </c>
      <c r="AC204" s="283">
        <v>44523</v>
      </c>
      <c r="AD204" s="283">
        <v>44525</v>
      </c>
      <c r="AE204" s="283">
        <v>44539</v>
      </c>
      <c r="AF204" s="283"/>
      <c r="AG204" s="283"/>
      <c r="AH204" s="334"/>
      <c r="AI204" s="283">
        <f>IFERROR(IF(VLOOKUP(功能_33[[#This Row],[功能代號]],E:S,11,FALSE)=0,"",VLOOKUP(功能_33[[#This Row],[功能代號]],E:S,11,FALSE)),"")</f>
        <v>44523</v>
      </c>
      <c r="AJ204" s="283"/>
      <c r="AK204" s="283"/>
      <c r="AL204" s="276"/>
      <c r="AM204" s="283"/>
      <c r="AN204" s="275" t="s">
        <v>2623</v>
      </c>
      <c r="AO204" s="275" t="s">
        <v>2623</v>
      </c>
      <c r="AQ204" s="507" t="str">
        <f t="shared" si="24"/>
        <v>4-2</v>
      </c>
      <c r="AR204" s="509" t="str">
        <f t="shared" si="25"/>
        <v/>
      </c>
      <c r="AS204" s="511" t="str">
        <f t="shared" si="26"/>
        <v/>
      </c>
      <c r="AT204" s="513" t="str">
        <f t="shared" si="27"/>
        <v/>
      </c>
      <c r="AU204" s="515" t="str">
        <f t="shared" si="28"/>
        <v/>
      </c>
      <c r="AV204" s="517" t="str">
        <f t="shared" si="29"/>
        <v/>
      </c>
      <c r="AW204" s="589" t="str">
        <f>IFERROR(VLOOKUP(功能_33[[#This Row],[功能代號]],SIT_FT!D:D,1,FALSE),"")</f>
        <v>L420B</v>
      </c>
    </row>
    <row r="205" spans="1:49" ht="27" hidden="1" x14ac:dyDescent="0.3">
      <c r="C205" s="276" t="s">
        <v>80</v>
      </c>
      <c r="D205" s="276" t="s">
        <v>396</v>
      </c>
      <c r="E205" s="275" t="s">
        <v>640</v>
      </c>
      <c r="F205" s="276" t="s">
        <v>641</v>
      </c>
      <c r="G205" s="276"/>
      <c r="H205" s="275" t="s">
        <v>179</v>
      </c>
      <c r="I205" s="275" t="s">
        <v>2449</v>
      </c>
      <c r="J205" s="218" t="s">
        <v>2606</v>
      </c>
      <c r="K205" s="283">
        <v>44579</v>
      </c>
      <c r="L205" s="275"/>
      <c r="M205" s="283">
        <v>44469</v>
      </c>
      <c r="N205" s="283">
        <v>44484</v>
      </c>
      <c r="O205" s="283">
        <v>44523</v>
      </c>
      <c r="P205" s="275" t="s">
        <v>8</v>
      </c>
      <c r="Q205" s="275" t="s">
        <v>11</v>
      </c>
      <c r="R205" s="258" t="s">
        <v>23</v>
      </c>
      <c r="V205" s="275"/>
      <c r="X205" s="275"/>
      <c r="Y205" s="275"/>
      <c r="Z205" s="276" t="str">
        <f>VLOOKUP(功能_33[[#This Row],[User]],SKL放款!A:G,7,FALSE)</f>
        <v>放款服務課</v>
      </c>
      <c r="AA205" s="283">
        <v>44533</v>
      </c>
      <c r="AB205" s="283" t="s">
        <v>119</v>
      </c>
      <c r="AC205" s="283">
        <v>44523</v>
      </c>
      <c r="AD205" s="283">
        <v>44525</v>
      </c>
      <c r="AE205" s="283">
        <v>44539</v>
      </c>
      <c r="AF205" s="283"/>
      <c r="AG205" s="283"/>
      <c r="AH205" s="334"/>
      <c r="AI205" s="283">
        <f>IFERROR(IF(VLOOKUP(功能_33[[#This Row],[功能代號]],E:S,11,FALSE)=0,"",VLOOKUP(功能_33[[#This Row],[功能代號]],E:S,11,FALSE)),"")</f>
        <v>44523</v>
      </c>
      <c r="AJ205" s="283"/>
      <c r="AK205" s="283"/>
      <c r="AL205" s="276"/>
      <c r="AM205" s="217" t="s">
        <v>635</v>
      </c>
      <c r="AN205" s="292" t="s">
        <v>2656</v>
      </c>
      <c r="AO205" s="212" t="s">
        <v>2657</v>
      </c>
      <c r="AQ205" s="507" t="str">
        <f t="shared" si="24"/>
        <v>4-2</v>
      </c>
      <c r="AR205" s="509" t="str">
        <f t="shared" si="25"/>
        <v/>
      </c>
      <c r="AS205" s="511" t="str">
        <f t="shared" si="26"/>
        <v/>
      </c>
      <c r="AT205" s="513" t="str">
        <f t="shared" si="27"/>
        <v/>
      </c>
      <c r="AU205" s="515" t="str">
        <f t="shared" si="28"/>
        <v/>
      </c>
      <c r="AV205" s="517" t="str">
        <f t="shared" si="29"/>
        <v/>
      </c>
      <c r="AW205" s="589" t="str">
        <f>IFERROR(VLOOKUP(功能_33[[#This Row],[功能代號]],SIT_FT!D:D,1,FALSE),"")</f>
        <v>L4920</v>
      </c>
    </row>
    <row r="206" spans="1:49" ht="13.5" hidden="1" x14ac:dyDescent="0.3">
      <c r="C206" s="276" t="s">
        <v>80</v>
      </c>
      <c r="D206" s="276" t="s">
        <v>396</v>
      </c>
      <c r="E206" s="275" t="s">
        <v>642</v>
      </c>
      <c r="F206" s="276" t="s">
        <v>643</v>
      </c>
      <c r="G206" s="276"/>
      <c r="H206" s="275" t="s">
        <v>179</v>
      </c>
      <c r="I206" s="275" t="s">
        <v>2449</v>
      </c>
      <c r="J206" s="218" t="s">
        <v>2606</v>
      </c>
      <c r="K206" s="283">
        <v>44579</v>
      </c>
      <c r="L206" s="275"/>
      <c r="M206" s="283">
        <v>44469</v>
      </c>
      <c r="N206" s="283">
        <v>44484</v>
      </c>
      <c r="O206" s="283">
        <v>44523</v>
      </c>
      <c r="P206" s="275" t="s">
        <v>8</v>
      </c>
      <c r="Q206" s="275" t="s">
        <v>11</v>
      </c>
      <c r="V206" s="275"/>
      <c r="X206" s="275"/>
      <c r="Y206" s="275"/>
      <c r="Z206" s="276" t="str">
        <f>VLOOKUP(功能_33[[#This Row],[User]],SKL放款!A:G,7,FALSE)</f>
        <v>放款服務課</v>
      </c>
      <c r="AA206" s="283">
        <v>44533</v>
      </c>
      <c r="AB206" s="283" t="s">
        <v>119</v>
      </c>
      <c r="AC206" s="283">
        <v>44523</v>
      </c>
      <c r="AD206" s="283">
        <v>44525</v>
      </c>
      <c r="AE206" s="283">
        <v>44539</v>
      </c>
      <c r="AF206" s="283"/>
      <c r="AG206" s="283"/>
      <c r="AH206" s="334"/>
      <c r="AI206" s="283">
        <f>IFERROR(IF(VLOOKUP(功能_33[[#This Row],[功能代號]],E:S,11,FALSE)=0,"",VLOOKUP(功能_33[[#This Row],[功能代號]],E:S,11,FALSE)),"")</f>
        <v>44523</v>
      </c>
      <c r="AJ206" s="283"/>
      <c r="AK206" s="283"/>
      <c r="AL206" s="276"/>
      <c r="AM206" s="217" t="s">
        <v>635</v>
      </c>
      <c r="AN206" s="275" t="s">
        <v>2623</v>
      </c>
      <c r="AO206" s="275" t="s">
        <v>2623</v>
      </c>
      <c r="AQ206" s="507" t="str">
        <f t="shared" si="24"/>
        <v>4-2</v>
      </c>
      <c r="AR206" s="509" t="str">
        <f t="shared" si="25"/>
        <v/>
      </c>
      <c r="AS206" s="511" t="str">
        <f t="shared" si="26"/>
        <v/>
      </c>
      <c r="AT206" s="513" t="str">
        <f t="shared" si="27"/>
        <v/>
      </c>
      <c r="AU206" s="515" t="str">
        <f t="shared" si="28"/>
        <v/>
      </c>
      <c r="AV206" s="517" t="str">
        <f t="shared" si="29"/>
        <v/>
      </c>
      <c r="AW206" s="589" t="str">
        <f>IFERROR(VLOOKUP(功能_33[[#This Row],[功能代號]],SIT_FT!D:D,1,FALSE),"")</f>
        <v>L4925</v>
      </c>
    </row>
    <row r="207" spans="1:49" ht="13.5" hidden="1" x14ac:dyDescent="0.3">
      <c r="C207" s="276" t="s">
        <v>80</v>
      </c>
      <c r="D207" s="276" t="s">
        <v>396</v>
      </c>
      <c r="E207" s="275" t="s">
        <v>644</v>
      </c>
      <c r="F207" s="276" t="s">
        <v>645</v>
      </c>
      <c r="G207" s="276"/>
      <c r="H207" s="275" t="s">
        <v>179</v>
      </c>
      <c r="I207" s="275" t="s">
        <v>2449</v>
      </c>
      <c r="J207" s="218" t="s">
        <v>2606</v>
      </c>
      <c r="K207" s="283">
        <v>44579</v>
      </c>
      <c r="L207" s="275"/>
      <c r="M207" s="283">
        <v>44469</v>
      </c>
      <c r="N207" s="283">
        <v>44484</v>
      </c>
      <c r="O207" s="283">
        <v>44523</v>
      </c>
      <c r="P207" s="275" t="s">
        <v>8</v>
      </c>
      <c r="Q207" s="275" t="s">
        <v>23</v>
      </c>
      <c r="V207" s="275"/>
      <c r="X207" s="275"/>
      <c r="Y207" s="275"/>
      <c r="Z207" s="276" t="str">
        <f>VLOOKUP(功能_33[[#This Row],[User]],SKL放款!A:G,7,FALSE)</f>
        <v>放款服務課</v>
      </c>
      <c r="AA207" s="283">
        <v>44533</v>
      </c>
      <c r="AB207" s="283" t="s">
        <v>119</v>
      </c>
      <c r="AC207" s="283">
        <v>44523</v>
      </c>
      <c r="AD207" s="283">
        <v>44525</v>
      </c>
      <c r="AE207" s="283">
        <v>44539</v>
      </c>
      <c r="AF207" s="283"/>
      <c r="AG207" s="283"/>
      <c r="AH207" s="334"/>
      <c r="AI207" s="283">
        <f>IFERROR(IF(VLOOKUP(功能_33[[#This Row],[功能代號]],E:S,11,FALSE)=0,"",VLOOKUP(功能_33[[#This Row],[功能代號]],E:S,11,FALSE)),"")</f>
        <v>44523</v>
      </c>
      <c r="AJ207" s="283"/>
      <c r="AK207" s="283"/>
      <c r="AL207" s="276"/>
      <c r="AM207" s="283"/>
      <c r="AN207" s="275" t="s">
        <v>2623</v>
      </c>
      <c r="AO207" s="275" t="s">
        <v>2623</v>
      </c>
      <c r="AQ207" s="507" t="str">
        <f t="shared" si="24"/>
        <v>4-2</v>
      </c>
      <c r="AR207" s="509" t="str">
        <f t="shared" si="25"/>
        <v/>
      </c>
      <c r="AS207" s="511" t="str">
        <f t="shared" si="26"/>
        <v/>
      </c>
      <c r="AT207" s="513" t="str">
        <f t="shared" si="27"/>
        <v/>
      </c>
      <c r="AU207" s="515" t="str">
        <f t="shared" si="28"/>
        <v/>
      </c>
      <c r="AV207" s="517" t="str">
        <f t="shared" si="29"/>
        <v/>
      </c>
      <c r="AW207" s="589" t="str">
        <f>IFERROR(VLOOKUP(功能_33[[#This Row],[功能代號]],SIT_FT!D:D,1,FALSE),"")</f>
        <v>L4930</v>
      </c>
    </row>
    <row r="208" spans="1:49" ht="13.5" hidden="1" x14ac:dyDescent="0.3">
      <c r="C208" s="276" t="s">
        <v>80</v>
      </c>
      <c r="D208" s="276" t="s">
        <v>396</v>
      </c>
      <c r="E208" s="275" t="s">
        <v>646</v>
      </c>
      <c r="F208" s="276" t="s">
        <v>647</v>
      </c>
      <c r="G208" s="276"/>
      <c r="H208" s="275" t="s">
        <v>179</v>
      </c>
      <c r="I208" s="275" t="s">
        <v>2449</v>
      </c>
      <c r="J208" s="218" t="s">
        <v>2606</v>
      </c>
      <c r="K208" s="283">
        <v>44579</v>
      </c>
      <c r="L208" s="275"/>
      <c r="M208" s="283">
        <v>44469</v>
      </c>
      <c r="N208" s="283">
        <v>44484</v>
      </c>
      <c r="O208" s="283">
        <v>44523</v>
      </c>
      <c r="P208" s="275" t="s">
        <v>8</v>
      </c>
      <c r="Q208" s="275" t="s">
        <v>22</v>
      </c>
      <c r="V208" s="275"/>
      <c r="X208" s="275"/>
      <c r="Y208" s="275"/>
      <c r="Z208" s="276" t="str">
        <f>VLOOKUP(功能_33[[#This Row],[User]],SKL放款!A:G,7,FALSE)</f>
        <v>放款服務課</v>
      </c>
      <c r="AA208" s="283">
        <v>44533</v>
      </c>
      <c r="AB208" s="283" t="s">
        <v>181</v>
      </c>
      <c r="AC208" s="283">
        <v>44523</v>
      </c>
      <c r="AD208" s="283">
        <v>44525</v>
      </c>
      <c r="AE208" s="283">
        <v>44539</v>
      </c>
      <c r="AF208" s="283"/>
      <c r="AG208" s="283"/>
      <c r="AH208" s="334"/>
      <c r="AI208" s="283">
        <f>IFERROR(IF(VLOOKUP(功能_33[[#This Row],[功能代號]],E:S,11,FALSE)=0,"",VLOOKUP(功能_33[[#This Row],[功能代號]],E:S,11,FALSE)),"")</f>
        <v>44523</v>
      </c>
      <c r="AJ208" s="283"/>
      <c r="AK208" s="283"/>
      <c r="AL208" s="276"/>
      <c r="AM208" s="283"/>
      <c r="AN208" s="275" t="s">
        <v>2623</v>
      </c>
      <c r="AO208" s="275" t="s">
        <v>2623</v>
      </c>
      <c r="AQ208" s="507" t="str">
        <f t="shared" si="24"/>
        <v>4-2</v>
      </c>
      <c r="AR208" s="509" t="str">
        <f t="shared" si="25"/>
        <v/>
      </c>
      <c r="AS208" s="511" t="str">
        <f t="shared" si="26"/>
        <v/>
      </c>
      <c r="AT208" s="513" t="str">
        <f t="shared" si="27"/>
        <v/>
      </c>
      <c r="AU208" s="515" t="str">
        <f t="shared" si="28"/>
        <v/>
      </c>
      <c r="AV208" s="517" t="str">
        <f t="shared" si="29"/>
        <v/>
      </c>
      <c r="AW208" s="589" t="str">
        <f>IFERROR(VLOOKUP(功能_33[[#This Row],[功能代號]],SIT_FT!D:D,1,FALSE),"")</f>
        <v>L4202</v>
      </c>
    </row>
    <row r="209" spans="1:49" ht="13.5" hidden="1" x14ac:dyDescent="0.3">
      <c r="C209" s="276" t="s">
        <v>80</v>
      </c>
      <c r="D209" s="276" t="s">
        <v>396</v>
      </c>
      <c r="E209" s="275" t="s">
        <v>648</v>
      </c>
      <c r="F209" s="276" t="s">
        <v>649</v>
      </c>
      <c r="G209" s="276"/>
      <c r="H209" s="275" t="s">
        <v>179</v>
      </c>
      <c r="I209" s="275" t="s">
        <v>2449</v>
      </c>
      <c r="J209" s="218" t="s">
        <v>2606</v>
      </c>
      <c r="K209" s="283">
        <v>44579</v>
      </c>
      <c r="L209" s="275"/>
      <c r="M209" s="283">
        <v>44469</v>
      </c>
      <c r="N209" s="283">
        <v>44484</v>
      </c>
      <c r="O209" s="283">
        <v>44523</v>
      </c>
      <c r="P209" s="275" t="s">
        <v>8</v>
      </c>
      <c r="Q209" s="275" t="s">
        <v>23</v>
      </c>
      <c r="V209" s="275"/>
      <c r="X209" s="275"/>
      <c r="Y209" s="275"/>
      <c r="Z209" s="276" t="str">
        <f>VLOOKUP(功能_33[[#This Row],[User]],SKL放款!A:G,7,FALSE)</f>
        <v>放款服務課</v>
      </c>
      <c r="AA209" s="283">
        <v>44533</v>
      </c>
      <c r="AB209" s="283" t="s">
        <v>181</v>
      </c>
      <c r="AC209" s="283">
        <v>44523</v>
      </c>
      <c r="AD209" s="283">
        <v>44525</v>
      </c>
      <c r="AE209" s="283">
        <v>44539</v>
      </c>
      <c r="AF209" s="283"/>
      <c r="AG209" s="283"/>
      <c r="AH209" s="334"/>
      <c r="AI209" s="283">
        <f>IFERROR(IF(VLOOKUP(功能_33[[#This Row],[功能代號]],E:S,11,FALSE)=0,"",VLOOKUP(功能_33[[#This Row],[功能代號]],E:S,11,FALSE)),"")</f>
        <v>44523</v>
      </c>
      <c r="AJ209" s="283"/>
      <c r="AK209" s="283"/>
      <c r="AL209" s="276"/>
      <c r="AM209" s="283"/>
      <c r="AN209" s="275" t="s">
        <v>2623</v>
      </c>
      <c r="AO209" s="275" t="s">
        <v>2623</v>
      </c>
      <c r="AQ209" s="507" t="str">
        <f t="shared" si="24"/>
        <v>4-2</v>
      </c>
      <c r="AR209" s="509" t="str">
        <f t="shared" si="25"/>
        <v/>
      </c>
      <c r="AS209" s="511" t="str">
        <f t="shared" si="26"/>
        <v/>
      </c>
      <c r="AT209" s="513" t="str">
        <f t="shared" si="27"/>
        <v/>
      </c>
      <c r="AU209" s="515" t="str">
        <f t="shared" si="28"/>
        <v/>
      </c>
      <c r="AV209" s="517" t="str">
        <f t="shared" si="29"/>
        <v/>
      </c>
      <c r="AW209" s="589" t="str">
        <f>IFERROR(VLOOKUP(功能_33[[#This Row],[功能代號]],SIT_FT!D:D,1,FALSE),"")</f>
        <v>L4203</v>
      </c>
    </row>
    <row r="210" spans="1:49" ht="135" hidden="1" x14ac:dyDescent="0.3">
      <c r="A210" s="537">
        <v>44554</v>
      </c>
      <c r="C210" s="276" t="s">
        <v>80</v>
      </c>
      <c r="D210" s="276" t="s">
        <v>451</v>
      </c>
      <c r="E210" s="275" t="s">
        <v>650</v>
      </c>
      <c r="F210" s="276" t="s">
        <v>651</v>
      </c>
      <c r="G210" s="276"/>
      <c r="H210" s="275" t="s">
        <v>179</v>
      </c>
      <c r="I210" s="275" t="s">
        <v>2449</v>
      </c>
      <c r="J210" s="218" t="s">
        <v>3000</v>
      </c>
      <c r="K210" s="283">
        <v>44579</v>
      </c>
      <c r="L210" s="275"/>
      <c r="M210" s="283">
        <v>44469</v>
      </c>
      <c r="N210" s="283">
        <v>44484</v>
      </c>
      <c r="O210" s="221">
        <v>44550</v>
      </c>
      <c r="P210" s="275" t="s">
        <v>8</v>
      </c>
      <c r="Q210" s="275" t="s">
        <v>22</v>
      </c>
      <c r="R210" s="258" t="s">
        <v>454</v>
      </c>
      <c r="V210" s="275"/>
      <c r="X210" s="275"/>
      <c r="Y210" s="275"/>
      <c r="Z210" s="276" t="str">
        <f>VLOOKUP(功能_33[[#This Row],[User]],SKL放款!A:G,7,FALSE)</f>
        <v>放款服務課</v>
      </c>
      <c r="AA210" s="221">
        <v>44550</v>
      </c>
      <c r="AB210" s="283" t="s">
        <v>119</v>
      </c>
      <c r="AC210" s="283">
        <v>44523</v>
      </c>
      <c r="AD210" s="283">
        <v>44525</v>
      </c>
      <c r="AE210" s="283" t="s">
        <v>3003</v>
      </c>
      <c r="AF210" s="283"/>
      <c r="AG210" s="283"/>
      <c r="AH210" s="334"/>
      <c r="AI210" s="283">
        <f>IFERROR(IF(VLOOKUP(功能_33[[#This Row],[功能代號]],E:S,11,FALSE)=0,"",VLOOKUP(功能_33[[#This Row],[功能代號]],E:S,11,FALSE)),"")</f>
        <v>44550</v>
      </c>
      <c r="AJ210" s="283"/>
      <c r="AK210" s="283"/>
      <c r="AL210" s="276"/>
      <c r="AM210" s="283"/>
      <c r="AN210" s="292" t="s">
        <v>2662</v>
      </c>
      <c r="AO210" s="212" t="s">
        <v>2663</v>
      </c>
      <c r="AQ210" s="507" t="str">
        <f t="shared" si="24"/>
        <v>4-4</v>
      </c>
      <c r="AR210" s="509" t="str">
        <f t="shared" si="25"/>
        <v/>
      </c>
      <c r="AS210" s="511" t="str">
        <f t="shared" si="26"/>
        <v/>
      </c>
      <c r="AT210" s="513" t="str">
        <f t="shared" si="27"/>
        <v/>
      </c>
      <c r="AU210" s="515" t="str">
        <f t="shared" si="28"/>
        <v/>
      </c>
      <c r="AV210" s="517" t="str">
        <f t="shared" si="29"/>
        <v/>
      </c>
      <c r="AW210" s="589" t="str">
        <f>IFERROR(VLOOKUP(功能_33[[#This Row],[功能代號]],SIT_FT!D:D,1,FALSE),"")</f>
        <v>L4454</v>
      </c>
    </row>
    <row r="211" spans="1:49" ht="13.5" hidden="1" x14ac:dyDescent="0.3">
      <c r="C211" s="276" t="s">
        <v>80</v>
      </c>
      <c r="D211" s="276" t="s">
        <v>451</v>
      </c>
      <c r="E211" s="275" t="s">
        <v>652</v>
      </c>
      <c r="F211" s="276" t="s">
        <v>653</v>
      </c>
      <c r="G211" s="217" t="s">
        <v>654</v>
      </c>
      <c r="H211" s="275" t="s">
        <v>179</v>
      </c>
      <c r="I211" s="275" t="s">
        <v>2449</v>
      </c>
      <c r="J211" s="218" t="s">
        <v>2606</v>
      </c>
      <c r="K211" s="283">
        <v>44580</v>
      </c>
      <c r="L211" s="275"/>
      <c r="M211" s="283">
        <v>44469</v>
      </c>
      <c r="N211" s="283">
        <v>44484</v>
      </c>
      <c r="O211" s="283">
        <v>44523</v>
      </c>
      <c r="P211" s="275" t="s">
        <v>8</v>
      </c>
      <c r="Q211" s="275" t="s">
        <v>22</v>
      </c>
      <c r="R211" s="258" t="s">
        <v>454</v>
      </c>
      <c r="V211" s="275"/>
      <c r="X211" s="275"/>
      <c r="Y211" s="275"/>
      <c r="Z211" s="276" t="str">
        <f>VLOOKUP(功能_33[[#This Row],[User]],SKL放款!A:G,7,FALSE)</f>
        <v>放款服務課</v>
      </c>
      <c r="AA211" s="283">
        <v>44533</v>
      </c>
      <c r="AB211" s="283">
        <v>44523</v>
      </c>
      <c r="AC211" s="283">
        <v>44523</v>
      </c>
      <c r="AD211" s="283">
        <v>44525</v>
      </c>
      <c r="AE211" s="283">
        <v>44539</v>
      </c>
      <c r="AF211" s="283"/>
      <c r="AG211" s="283"/>
      <c r="AH211" s="334"/>
      <c r="AI211" s="283">
        <f>IFERROR(IF(VLOOKUP(功能_33[[#This Row],[功能代號]],E:S,11,FALSE)=0,"",VLOOKUP(功能_33[[#This Row],[功能代號]],E:S,11,FALSE)),"")</f>
        <v>44523</v>
      </c>
      <c r="AJ211" s="283"/>
      <c r="AK211" s="283"/>
      <c r="AL211" s="276"/>
      <c r="AM211" s="283"/>
      <c r="AN211" s="275" t="s">
        <v>2634</v>
      </c>
      <c r="AO211" s="275" t="s">
        <v>2623</v>
      </c>
      <c r="AQ211" s="507" t="str">
        <f t="shared" si="24"/>
        <v>4-4</v>
      </c>
      <c r="AR211" s="509" t="str">
        <f t="shared" si="25"/>
        <v/>
      </c>
      <c r="AS211" s="511" t="str">
        <f t="shared" si="26"/>
        <v/>
      </c>
      <c r="AT211" s="513" t="str">
        <f t="shared" si="27"/>
        <v/>
      </c>
      <c r="AU211" s="515" t="str">
        <f t="shared" si="28"/>
        <v/>
      </c>
      <c r="AV211" s="517" t="str">
        <f t="shared" si="29"/>
        <v/>
      </c>
      <c r="AW211" s="589" t="str">
        <f>IFERROR(VLOOKUP(功能_33[[#This Row],[功能代號]],SIT_FT!D:D,1,FALSE),"")</f>
        <v>L4455</v>
      </c>
    </row>
    <row r="212" spans="1:49" ht="13.5" x14ac:dyDescent="0.3">
      <c r="B212" s="276">
        <v>1</v>
      </c>
      <c r="C212" s="276" t="s">
        <v>79</v>
      </c>
      <c r="D212" s="337" t="s">
        <v>2502</v>
      </c>
      <c r="E212" s="275" t="s">
        <v>655</v>
      </c>
      <c r="F212" s="276" t="s">
        <v>656</v>
      </c>
      <c r="G212" s="276"/>
      <c r="H212" s="275" t="s">
        <v>179</v>
      </c>
      <c r="I212" s="275" t="s">
        <v>180</v>
      </c>
      <c r="J212" s="218" t="s">
        <v>3012</v>
      </c>
      <c r="K212" s="283">
        <v>44580</v>
      </c>
      <c r="L212" s="275"/>
      <c r="M212" s="283">
        <v>44491</v>
      </c>
      <c r="N212" s="283">
        <v>44491</v>
      </c>
      <c r="O212" s="283">
        <v>44537</v>
      </c>
      <c r="P212" s="275" t="s">
        <v>8</v>
      </c>
      <c r="Q212" s="275" t="s">
        <v>11</v>
      </c>
      <c r="V212" s="275"/>
      <c r="X212" s="275"/>
      <c r="Y212" s="275"/>
      <c r="Z212" s="276" t="str">
        <f>VLOOKUP(功能_33[[#This Row],[User]],SKL放款!A:G,7,FALSE)</f>
        <v>放款服務課</v>
      </c>
      <c r="AA212" s="283">
        <v>44496</v>
      </c>
      <c r="AB212" s="283">
        <v>44512</v>
      </c>
      <c r="AC212" s="283">
        <v>44496</v>
      </c>
      <c r="AD212" s="283">
        <v>44496</v>
      </c>
      <c r="AE212" s="217" t="s">
        <v>3014</v>
      </c>
      <c r="AF212" s="283" t="s">
        <v>182</v>
      </c>
      <c r="AG212" s="283"/>
      <c r="AH212" s="334"/>
      <c r="AI212" s="283">
        <f>IFERROR(IF(VLOOKUP(功能_33[[#This Row],[功能代號]],E:S,11,FALSE)=0,"",VLOOKUP(功能_33[[#This Row],[功能代號]],E:S,11,FALSE)),"")</f>
        <v>44537</v>
      </c>
      <c r="AJ212" s="283"/>
      <c r="AK212" s="283"/>
      <c r="AL212" s="276"/>
      <c r="AM212" s="283"/>
      <c r="AN212" s="275">
        <v>310</v>
      </c>
      <c r="AO212" s="276" t="s">
        <v>657</v>
      </c>
      <c r="AQ212" s="507" t="str">
        <f t="shared" si="24"/>
        <v>3-3</v>
      </c>
      <c r="AR212" s="509" t="str">
        <f t="shared" si="25"/>
        <v/>
      </c>
      <c r="AS212" s="511" t="str">
        <f t="shared" si="26"/>
        <v/>
      </c>
      <c r="AT212" s="513" t="str">
        <f t="shared" si="27"/>
        <v/>
      </c>
      <c r="AU212" s="515" t="str">
        <f t="shared" si="28"/>
        <v/>
      </c>
      <c r="AV212" s="517" t="str">
        <f t="shared" si="29"/>
        <v/>
      </c>
      <c r="AW212" s="589" t="str">
        <f>IFERROR(VLOOKUP(功能_33[[#This Row],[功能代號]],SIT_FT!D:D,1,FALSE),"")</f>
        <v>L3911</v>
      </c>
    </row>
    <row r="213" spans="1:49" ht="13.5" x14ac:dyDescent="0.3">
      <c r="C213" s="276" t="s">
        <v>79</v>
      </c>
      <c r="D213" s="337" t="s">
        <v>2502</v>
      </c>
      <c r="E213" s="275" t="s">
        <v>2462</v>
      </c>
      <c r="F213" s="276" t="s">
        <v>2463</v>
      </c>
      <c r="G213" s="276" t="s">
        <v>2461</v>
      </c>
      <c r="H213" s="275" t="s">
        <v>179</v>
      </c>
      <c r="I213" s="275" t="s">
        <v>180</v>
      </c>
      <c r="J213" s="218" t="s">
        <v>3012</v>
      </c>
      <c r="K213" s="283">
        <v>44580</v>
      </c>
      <c r="L213" s="275"/>
      <c r="M213" s="283">
        <v>44491</v>
      </c>
      <c r="N213" s="283">
        <v>44491</v>
      </c>
      <c r="O213" s="283">
        <v>44537</v>
      </c>
      <c r="P213" s="275" t="s">
        <v>8</v>
      </c>
      <c r="Q213" s="275" t="s">
        <v>11</v>
      </c>
      <c r="V213" s="275"/>
      <c r="X213" s="275"/>
      <c r="Y213" s="275"/>
      <c r="Z213" s="276" t="str">
        <f>VLOOKUP(功能_33[[#This Row],[User]],SKL放款!A:G,7,FALSE)</f>
        <v>放款服務課</v>
      </c>
      <c r="AA213" s="283">
        <v>44533</v>
      </c>
      <c r="AB213" s="283">
        <v>44512</v>
      </c>
      <c r="AC213" s="283">
        <v>44496</v>
      </c>
      <c r="AD213" s="283">
        <v>44496</v>
      </c>
      <c r="AE213" s="217" t="s">
        <v>3015</v>
      </c>
      <c r="AF213" s="283" t="s">
        <v>182</v>
      </c>
      <c r="AG213" s="283"/>
      <c r="AH213" s="334"/>
      <c r="AI213" s="283">
        <f>IFERROR(IF(VLOOKUP(功能_33[[#This Row],[功能代號]],E:S,11,FALSE)=0,"",VLOOKUP(功能_33[[#This Row],[功能代號]],E:S,11,FALSE)),"")</f>
        <v>44537</v>
      </c>
      <c r="AJ213" s="283"/>
      <c r="AK213" s="283"/>
      <c r="AL213" s="276"/>
      <c r="AM213" s="283"/>
      <c r="AN213" s="275">
        <v>310</v>
      </c>
      <c r="AO213" s="276" t="s">
        <v>657</v>
      </c>
      <c r="AQ213" s="507" t="str">
        <f t="shared" si="24"/>
        <v>3-3</v>
      </c>
      <c r="AR213" s="509" t="str">
        <f t="shared" si="25"/>
        <v/>
      </c>
      <c r="AS213" s="511" t="str">
        <f t="shared" si="26"/>
        <v/>
      </c>
      <c r="AT213" s="513" t="str">
        <f t="shared" si="27"/>
        <v/>
      </c>
      <c r="AU213" s="515" t="str">
        <f t="shared" si="28"/>
        <v/>
      </c>
      <c r="AV213" s="517" t="str">
        <f t="shared" si="29"/>
        <v/>
      </c>
      <c r="AW213" s="589" t="str">
        <f>IFERROR(VLOOKUP(功能_33[[#This Row],[功能代號]],SIT_FT!D:D,1,FALSE),"")</f>
        <v>L3917</v>
      </c>
    </row>
    <row r="214" spans="1:49" ht="13.5" x14ac:dyDescent="0.3">
      <c r="B214" s="276">
        <v>1</v>
      </c>
      <c r="C214" s="276" t="s">
        <v>79</v>
      </c>
      <c r="D214" s="337" t="s">
        <v>2502</v>
      </c>
      <c r="E214" s="275" t="s">
        <v>658</v>
      </c>
      <c r="F214" s="276" t="s">
        <v>659</v>
      </c>
      <c r="G214" s="217" t="s">
        <v>660</v>
      </c>
      <c r="H214" s="275" t="s">
        <v>179</v>
      </c>
      <c r="I214" s="275" t="s">
        <v>180</v>
      </c>
      <c r="J214" s="218" t="s">
        <v>3012</v>
      </c>
      <c r="K214" s="283">
        <v>44580</v>
      </c>
      <c r="L214" s="275"/>
      <c r="M214" s="283">
        <v>44491</v>
      </c>
      <c r="N214" s="283">
        <v>44491</v>
      </c>
      <c r="O214" s="283">
        <f>IFERROR(IF(VLOOKUP(功能_33[[#This Row],[功能代號]],討論項目!A:H,8,FALSE)=0,"",VLOOKUP(功能_33[[#This Row],[功能代號]],討論項目!A:H,8,FALSE)),"")</f>
        <v>44510</v>
      </c>
      <c r="P214" s="275" t="s">
        <v>8</v>
      </c>
      <c r="Q214" s="275" t="s">
        <v>11</v>
      </c>
      <c r="V214" s="275"/>
      <c r="X214" s="275"/>
      <c r="Y214" s="275"/>
      <c r="Z214" s="276" t="str">
        <f>VLOOKUP(功能_33[[#This Row],[User]],SKL放款!A:G,7,FALSE)</f>
        <v>放款服務課</v>
      </c>
      <c r="AA214" s="283">
        <v>44496</v>
      </c>
      <c r="AB214" s="283">
        <v>44512</v>
      </c>
      <c r="AC214" s="283">
        <v>44496</v>
      </c>
      <c r="AD214" s="283">
        <v>44496</v>
      </c>
      <c r="AE214" s="217" t="s">
        <v>3013</v>
      </c>
      <c r="AF214" s="283" t="s">
        <v>182</v>
      </c>
      <c r="AG214" s="283"/>
      <c r="AH214" s="334"/>
      <c r="AI214" s="283">
        <f>IFERROR(IF(VLOOKUP(功能_33[[#This Row],[功能代號]],E:S,11,FALSE)=0,"",VLOOKUP(功能_33[[#This Row],[功能代號]],E:S,11,FALSE)),"")</f>
        <v>44510</v>
      </c>
      <c r="AJ214" s="283"/>
      <c r="AK214" s="283"/>
      <c r="AL214" s="276"/>
      <c r="AN214" s="275" t="s">
        <v>176</v>
      </c>
      <c r="AQ214" s="507" t="str">
        <f t="shared" si="24"/>
        <v>3-3</v>
      </c>
      <c r="AR214" s="509" t="str">
        <f t="shared" si="25"/>
        <v/>
      </c>
      <c r="AS214" s="511" t="str">
        <f t="shared" si="26"/>
        <v/>
      </c>
      <c r="AT214" s="513" t="str">
        <f t="shared" si="27"/>
        <v/>
      </c>
      <c r="AU214" s="515" t="str">
        <f t="shared" si="28"/>
        <v/>
      </c>
      <c r="AV214" s="517" t="str">
        <f t="shared" si="29"/>
        <v/>
      </c>
      <c r="AW214" s="589" t="str">
        <f>IFERROR(VLOOKUP(功能_33[[#This Row],[功能代號]],SIT_FT!D:D,1,FALSE),"")</f>
        <v>L3913</v>
      </c>
    </row>
    <row r="215" spans="1:49" ht="27" hidden="1" x14ac:dyDescent="0.3">
      <c r="C215" s="276" t="s">
        <v>80</v>
      </c>
      <c r="D215" s="276" t="s">
        <v>396</v>
      </c>
      <c r="E215" s="275" t="s">
        <v>661</v>
      </c>
      <c r="F215" s="276" t="s">
        <v>662</v>
      </c>
      <c r="G215" s="276"/>
      <c r="H215" s="275" t="s">
        <v>179</v>
      </c>
      <c r="I215" s="275" t="s">
        <v>2449</v>
      </c>
      <c r="J215" s="218" t="s">
        <v>2606</v>
      </c>
      <c r="K215" s="283">
        <v>44580</v>
      </c>
      <c r="L215" s="275"/>
      <c r="M215" s="283">
        <v>44474</v>
      </c>
      <c r="N215" s="283">
        <v>44481</v>
      </c>
      <c r="O215" s="283">
        <v>44523</v>
      </c>
      <c r="P215" s="275" t="s">
        <v>8</v>
      </c>
      <c r="Q215" s="275" t="s">
        <v>11</v>
      </c>
      <c r="R215" s="258" t="s">
        <v>23</v>
      </c>
      <c r="V215" s="275"/>
      <c r="X215" s="275"/>
      <c r="Y215" s="275"/>
      <c r="Z215" s="276" t="str">
        <f>VLOOKUP(功能_33[[#This Row],[User]],SKL放款!A:G,7,FALSE)</f>
        <v>放款服務課</v>
      </c>
      <c r="AA215" s="283">
        <v>44533</v>
      </c>
      <c r="AB215" s="283" t="s">
        <v>119</v>
      </c>
      <c r="AC215" s="283">
        <v>44523</v>
      </c>
      <c r="AD215" s="283">
        <v>44525</v>
      </c>
      <c r="AE215" s="283">
        <v>44539</v>
      </c>
      <c r="AF215" s="283"/>
      <c r="AG215" s="283"/>
      <c r="AH215" s="334"/>
      <c r="AI215" s="283">
        <f>IFERROR(IF(VLOOKUP(功能_33[[#This Row],[功能代號]],E:S,11,FALSE)=0,"",VLOOKUP(功能_33[[#This Row],[功能代號]],E:S,11,FALSE)),"")</f>
        <v>44523</v>
      </c>
      <c r="AJ215" s="283"/>
      <c r="AK215" s="283"/>
      <c r="AL215" s="276"/>
      <c r="AM215" s="283"/>
      <c r="AN215" s="292" t="s">
        <v>2650</v>
      </c>
      <c r="AO215" s="276" t="s">
        <v>2651</v>
      </c>
      <c r="AQ215" s="507" t="str">
        <f t="shared" si="24"/>
        <v>4-2</v>
      </c>
      <c r="AR215" s="509" t="str">
        <f t="shared" si="25"/>
        <v/>
      </c>
      <c r="AS215" s="511" t="str">
        <f t="shared" si="26"/>
        <v/>
      </c>
      <c r="AT215" s="513" t="str">
        <f t="shared" si="27"/>
        <v/>
      </c>
      <c r="AU215" s="515" t="str">
        <f t="shared" si="28"/>
        <v/>
      </c>
      <c r="AV215" s="517" t="str">
        <f t="shared" si="29"/>
        <v/>
      </c>
      <c r="AW215" s="589" t="str">
        <f>IFERROR(VLOOKUP(功能_33[[#This Row],[功能代號]],SIT_FT!D:D,1,FALSE),"")</f>
        <v>L4210</v>
      </c>
    </row>
    <row r="216" spans="1:49" ht="13.5" hidden="1" x14ac:dyDescent="0.3">
      <c r="C216" s="276" t="s">
        <v>80</v>
      </c>
      <c r="D216" s="276" t="s">
        <v>396</v>
      </c>
      <c r="E216" s="275" t="s">
        <v>663</v>
      </c>
      <c r="F216" s="276" t="s">
        <v>664</v>
      </c>
      <c r="G216" s="276"/>
      <c r="H216" s="275" t="s">
        <v>179</v>
      </c>
      <c r="I216" s="275" t="s">
        <v>2449</v>
      </c>
      <c r="J216" s="218" t="s">
        <v>2606</v>
      </c>
      <c r="K216" s="283">
        <v>44580</v>
      </c>
      <c r="L216" s="275"/>
      <c r="M216" s="283">
        <v>44474</v>
      </c>
      <c r="N216" s="283">
        <v>44481</v>
      </c>
      <c r="O216" s="283">
        <v>44523</v>
      </c>
      <c r="P216" s="275" t="s">
        <v>8</v>
      </c>
      <c r="Q216" s="275" t="s">
        <v>11</v>
      </c>
      <c r="V216" s="275"/>
      <c r="X216" s="275"/>
      <c r="Y216" s="275"/>
      <c r="Z216" s="276" t="str">
        <f>VLOOKUP(功能_33[[#This Row],[User]],SKL放款!A:G,7,FALSE)</f>
        <v>放款服務課</v>
      </c>
      <c r="AA216" s="283">
        <v>44533</v>
      </c>
      <c r="AB216" s="283" t="s">
        <v>181</v>
      </c>
      <c r="AC216" s="283">
        <v>44523</v>
      </c>
      <c r="AD216" s="283">
        <v>44525</v>
      </c>
      <c r="AE216" s="283">
        <v>44539</v>
      </c>
      <c r="AF216" s="283"/>
      <c r="AG216" s="283"/>
      <c r="AH216" s="334"/>
      <c r="AI216" s="283">
        <f>IFERROR(IF(VLOOKUP(功能_33[[#This Row],[功能代號]],E:S,11,FALSE)=0,"",VLOOKUP(功能_33[[#This Row],[功能代號]],E:S,11,FALSE)),"")</f>
        <v>44523</v>
      </c>
      <c r="AJ216" s="283"/>
      <c r="AK216" s="283"/>
      <c r="AL216" s="276"/>
      <c r="AM216" s="283"/>
      <c r="AN216" s="275" t="s">
        <v>2623</v>
      </c>
      <c r="AO216" s="275" t="s">
        <v>2623</v>
      </c>
      <c r="AQ216" s="507" t="str">
        <f t="shared" si="24"/>
        <v>4-2</v>
      </c>
      <c r="AR216" s="509" t="str">
        <f t="shared" si="25"/>
        <v/>
      </c>
      <c r="AS216" s="511" t="str">
        <f t="shared" si="26"/>
        <v/>
      </c>
      <c r="AT216" s="513" t="str">
        <f t="shared" si="27"/>
        <v/>
      </c>
      <c r="AU216" s="515" t="str">
        <f t="shared" si="28"/>
        <v/>
      </c>
      <c r="AV216" s="517" t="str">
        <f t="shared" si="29"/>
        <v/>
      </c>
      <c r="AW216" s="589" t="str">
        <f>IFERROR(VLOOKUP(功能_33[[#This Row],[功能代號]],SIT_FT!D:D,1,FALSE),"")</f>
        <v>L4921</v>
      </c>
    </row>
    <row r="217" spans="1:49" ht="40.5" hidden="1" x14ac:dyDescent="0.3">
      <c r="B217" s="374"/>
      <c r="C217" s="276" t="s">
        <v>80</v>
      </c>
      <c r="D217" s="276" t="s">
        <v>396</v>
      </c>
      <c r="E217" s="275" t="s">
        <v>665</v>
      </c>
      <c r="F217" s="276" t="s">
        <v>666</v>
      </c>
      <c r="G217" s="276"/>
      <c r="H217" s="275" t="s">
        <v>179</v>
      </c>
      <c r="I217" s="275" t="s">
        <v>2449</v>
      </c>
      <c r="J217" s="218" t="s">
        <v>2606</v>
      </c>
      <c r="K217" s="283">
        <v>44580</v>
      </c>
      <c r="L217" s="275"/>
      <c r="M217" s="283">
        <v>44474</v>
      </c>
      <c r="N217" s="283">
        <v>44481</v>
      </c>
      <c r="O217" s="283">
        <v>44523</v>
      </c>
      <c r="P217" s="275" t="s">
        <v>8</v>
      </c>
      <c r="Q217" s="275" t="s">
        <v>23</v>
      </c>
      <c r="V217" s="275"/>
      <c r="X217" s="275"/>
      <c r="Y217" s="275"/>
      <c r="Z217" s="276" t="str">
        <f>VLOOKUP(功能_33[[#This Row],[User]],SKL放款!A:G,7,FALSE)</f>
        <v>放款服務課</v>
      </c>
      <c r="AA217" s="283">
        <v>44533</v>
      </c>
      <c r="AB217" s="283" t="s">
        <v>119</v>
      </c>
      <c r="AC217" s="283">
        <v>44523</v>
      </c>
      <c r="AD217" s="283">
        <v>44525</v>
      </c>
      <c r="AE217" s="283">
        <v>44539</v>
      </c>
      <c r="AF217" s="283"/>
      <c r="AG217" s="283"/>
      <c r="AH217" s="334"/>
      <c r="AI217" s="283">
        <f>IFERROR(IF(VLOOKUP(功能_33[[#This Row],[功能代號]],E:S,11,FALSE)=0,"",VLOOKUP(功能_33[[#This Row],[功能代號]],E:S,11,FALSE)),"")</f>
        <v>44523</v>
      </c>
      <c r="AJ217" s="283"/>
      <c r="AK217" s="283"/>
      <c r="AL217" s="276"/>
      <c r="AM217" s="283"/>
      <c r="AN217" s="292" t="s">
        <v>2652</v>
      </c>
      <c r="AO217" s="212" t="s">
        <v>2653</v>
      </c>
      <c r="AQ217" s="507" t="str">
        <f t="shared" si="24"/>
        <v>4-2</v>
      </c>
      <c r="AR217" s="509" t="str">
        <f t="shared" si="25"/>
        <v/>
      </c>
      <c r="AS217" s="511" t="str">
        <f t="shared" si="26"/>
        <v/>
      </c>
      <c r="AT217" s="513" t="str">
        <f t="shared" si="27"/>
        <v/>
      </c>
      <c r="AU217" s="515" t="str">
        <f t="shared" si="28"/>
        <v/>
      </c>
      <c r="AV217" s="517" t="str">
        <f t="shared" si="29"/>
        <v/>
      </c>
      <c r="AW217" s="589" t="str">
        <f>IFERROR(VLOOKUP(功能_33[[#This Row],[功能代號]],SIT_FT!D:D,1,FALSE),"")</f>
        <v>L4201</v>
      </c>
    </row>
    <row r="218" spans="1:49" ht="27" hidden="1" x14ac:dyDescent="0.3">
      <c r="A218" s="537">
        <v>44552</v>
      </c>
      <c r="C218" s="276" t="s">
        <v>80</v>
      </c>
      <c r="D218" s="276" t="s">
        <v>396</v>
      </c>
      <c r="E218" s="275" t="s">
        <v>2453</v>
      </c>
      <c r="F218" s="276" t="s">
        <v>2458</v>
      </c>
      <c r="G218" s="276" t="s">
        <v>2459</v>
      </c>
      <c r="H218" s="275" t="s">
        <v>179</v>
      </c>
      <c r="I218" s="275" t="s">
        <v>2449</v>
      </c>
      <c r="J218" s="218" t="s">
        <v>3000</v>
      </c>
      <c r="K218" s="283">
        <v>44580</v>
      </c>
      <c r="L218" s="275"/>
      <c r="M218" s="283">
        <v>44474</v>
      </c>
      <c r="N218" s="283">
        <v>44481</v>
      </c>
      <c r="O218" s="221">
        <v>44550</v>
      </c>
      <c r="P218" s="275" t="s">
        <v>8</v>
      </c>
      <c r="Q218" s="275" t="s">
        <v>23</v>
      </c>
      <c r="V218" s="275"/>
      <c r="X218" s="275"/>
      <c r="Y218" s="275"/>
      <c r="Z218" s="276" t="str">
        <f>VLOOKUP(功能_33[[#This Row],[User]],SKL放款!A:G,7,FALSE)</f>
        <v>放款服務課</v>
      </c>
      <c r="AA218" s="221">
        <v>44550</v>
      </c>
      <c r="AB218" s="283" t="s">
        <v>2460</v>
      </c>
      <c r="AC218" s="283">
        <v>44523</v>
      </c>
      <c r="AD218" s="283">
        <v>44525</v>
      </c>
      <c r="AE218" s="283" t="s">
        <v>3003</v>
      </c>
      <c r="AF218" s="283"/>
      <c r="AG218" s="283"/>
      <c r="AH218" s="334"/>
      <c r="AI218" s="283">
        <f>IFERROR(IF(VLOOKUP(功能_33[[#This Row],[功能代號]],E:S,11,FALSE)=0,"",VLOOKUP(功能_33[[#This Row],[功能代號]],E:S,11,FALSE)),"")</f>
        <v>44550</v>
      </c>
      <c r="AJ218" s="283"/>
      <c r="AK218" s="283"/>
      <c r="AL218" s="276"/>
      <c r="AM218" s="283"/>
      <c r="AN218" s="292" t="s">
        <v>2678</v>
      </c>
      <c r="AO218" s="212" t="s">
        <v>2677</v>
      </c>
      <c r="AQ218" s="507" t="str">
        <f t="shared" si="24"/>
        <v>4-2</v>
      </c>
      <c r="AR218" s="509" t="str">
        <f t="shared" si="25"/>
        <v/>
      </c>
      <c r="AS218" s="511" t="str">
        <f t="shared" si="26"/>
        <v/>
      </c>
      <c r="AT218" s="513" t="str">
        <f t="shared" si="27"/>
        <v/>
      </c>
      <c r="AU218" s="515" t="str">
        <f t="shared" si="28"/>
        <v/>
      </c>
      <c r="AV218" s="517" t="str">
        <f t="shared" si="29"/>
        <v/>
      </c>
      <c r="AW218" s="589" t="str">
        <f>IFERROR(VLOOKUP(功能_33[[#This Row],[功能代號]],SIT_FT!D:D,1,FALSE),"")</f>
        <v>L4211</v>
      </c>
    </row>
    <row r="219" spans="1:49" ht="13.5" hidden="1" x14ac:dyDescent="0.3">
      <c r="C219" s="276" t="s">
        <v>80</v>
      </c>
      <c r="D219" s="276" t="s">
        <v>396</v>
      </c>
      <c r="E219" s="275" t="s">
        <v>667</v>
      </c>
      <c r="F219" s="276" t="s">
        <v>668</v>
      </c>
      <c r="G219" s="276"/>
      <c r="H219" s="275" t="s">
        <v>179</v>
      </c>
      <c r="I219" s="275" t="s">
        <v>2449</v>
      </c>
      <c r="J219" s="218" t="s">
        <v>2606</v>
      </c>
      <c r="K219" s="283">
        <v>44580</v>
      </c>
      <c r="L219" s="275"/>
      <c r="M219" s="283">
        <v>44474</v>
      </c>
      <c r="N219" s="283">
        <v>44482</v>
      </c>
      <c r="O219" s="283">
        <v>44523</v>
      </c>
      <c r="P219" s="275" t="s">
        <v>8</v>
      </c>
      <c r="Q219" s="275" t="s">
        <v>11</v>
      </c>
      <c r="V219" s="275"/>
      <c r="X219" s="275"/>
      <c r="Y219" s="275"/>
      <c r="Z219" s="276" t="str">
        <f>VLOOKUP(功能_33[[#This Row],[User]],SKL放款!A:G,7,FALSE)</f>
        <v>放款服務課</v>
      </c>
      <c r="AA219" s="283">
        <v>44533</v>
      </c>
      <c r="AB219" s="283" t="s">
        <v>181</v>
      </c>
      <c r="AC219" s="283">
        <v>44523</v>
      </c>
      <c r="AD219" s="283">
        <v>44525</v>
      </c>
      <c r="AE219" s="283">
        <v>44539</v>
      </c>
      <c r="AF219" s="283"/>
      <c r="AG219" s="283"/>
      <c r="AH219" s="334"/>
      <c r="AI219" s="283">
        <f>IFERROR(IF(VLOOKUP(功能_33[[#This Row],[功能代號]],E:S,11,FALSE)=0,"",VLOOKUP(功能_33[[#This Row],[功能代號]],E:S,11,FALSE)),"")</f>
        <v>44523</v>
      </c>
      <c r="AJ219" s="283"/>
      <c r="AK219" s="283"/>
      <c r="AL219" s="276"/>
      <c r="AM219" s="283"/>
      <c r="AN219" s="275" t="s">
        <v>2623</v>
      </c>
      <c r="AO219" s="275" t="s">
        <v>2623</v>
      </c>
      <c r="AQ219" s="507" t="str">
        <f t="shared" si="24"/>
        <v>4-2</v>
      </c>
      <c r="AR219" s="509" t="str">
        <f t="shared" si="25"/>
        <v/>
      </c>
      <c r="AS219" s="511" t="str">
        <f t="shared" si="26"/>
        <v/>
      </c>
      <c r="AT219" s="513" t="str">
        <f t="shared" si="27"/>
        <v/>
      </c>
      <c r="AU219" s="515" t="str">
        <f t="shared" si="28"/>
        <v/>
      </c>
      <c r="AV219" s="517" t="str">
        <f t="shared" si="29"/>
        <v/>
      </c>
      <c r="AW219" s="589" t="str">
        <f>IFERROR(VLOOKUP(功能_33[[#This Row],[功能代號]],SIT_FT!D:D,1,FALSE),"")</f>
        <v>L492A</v>
      </c>
    </row>
    <row r="220" spans="1:49" ht="27" hidden="1" x14ac:dyDescent="0.3">
      <c r="A220" s="537">
        <v>44554</v>
      </c>
      <c r="C220" s="276" t="s">
        <v>80</v>
      </c>
      <c r="D220" s="276" t="s">
        <v>405</v>
      </c>
      <c r="E220" s="275" t="s">
        <v>669</v>
      </c>
      <c r="F220" s="276" t="s">
        <v>670</v>
      </c>
      <c r="G220" s="276"/>
      <c r="H220" s="275" t="s">
        <v>179</v>
      </c>
      <c r="I220" s="275" t="s">
        <v>2449</v>
      </c>
      <c r="J220" s="218" t="s">
        <v>3000</v>
      </c>
      <c r="K220" s="283">
        <v>44580</v>
      </c>
      <c r="L220" s="275"/>
      <c r="M220" s="283">
        <v>44474</v>
      </c>
      <c r="N220" s="283">
        <v>44481</v>
      </c>
      <c r="O220" s="221">
        <v>44550</v>
      </c>
      <c r="P220" s="275" t="s">
        <v>8</v>
      </c>
      <c r="Q220" s="275" t="s">
        <v>24</v>
      </c>
      <c r="R220" s="258" t="s">
        <v>23</v>
      </c>
      <c r="V220" s="275"/>
      <c r="X220" s="275"/>
      <c r="Y220" s="275"/>
      <c r="Z220" s="276" t="str">
        <f>VLOOKUP(功能_33[[#This Row],[User]],SKL放款!A:G,7,FALSE)</f>
        <v>放款服務課</v>
      </c>
      <c r="AA220" s="221">
        <v>44550</v>
      </c>
      <c r="AB220" s="283" t="s">
        <v>119</v>
      </c>
      <c r="AC220" s="283">
        <v>44525</v>
      </c>
      <c r="AD220" s="283">
        <v>44524</v>
      </c>
      <c r="AE220" s="283" t="s">
        <v>3003</v>
      </c>
      <c r="AF220" s="283"/>
      <c r="AG220" s="283"/>
      <c r="AH220" s="334"/>
      <c r="AI220" s="283">
        <f>IFERROR(IF(VLOOKUP(功能_33[[#This Row],[功能代號]],E:S,11,FALSE)=0,"",VLOOKUP(功能_33[[#This Row],[功能代號]],E:S,11,FALSE)),"")</f>
        <v>44550</v>
      </c>
      <c r="AJ220" s="283"/>
      <c r="AK220" s="283"/>
      <c r="AL220" s="276"/>
      <c r="AM220" s="283"/>
      <c r="AN220" s="292" t="s">
        <v>2654</v>
      </c>
      <c r="AO220" s="276" t="s">
        <v>2655</v>
      </c>
      <c r="AQ220" s="507" t="str">
        <f t="shared" si="24"/>
        <v>4-7</v>
      </c>
      <c r="AR220" s="509" t="str">
        <f t="shared" si="25"/>
        <v/>
      </c>
      <c r="AS220" s="511" t="str">
        <f t="shared" si="26"/>
        <v/>
      </c>
      <c r="AT220" s="513" t="str">
        <f t="shared" si="27"/>
        <v/>
      </c>
      <c r="AU220" s="515" t="str">
        <f t="shared" si="28"/>
        <v/>
      </c>
      <c r="AV220" s="517" t="str">
        <f t="shared" si="29"/>
        <v/>
      </c>
      <c r="AW220" s="589" t="str">
        <f>IFERROR(VLOOKUP(功能_33[[#This Row],[功能代號]],SIT_FT!D:D,1,FALSE),"")</f>
        <v>L4702</v>
      </c>
    </row>
    <row r="221" spans="1:49" ht="27" hidden="1" x14ac:dyDescent="0.3">
      <c r="C221" s="276" t="s">
        <v>80</v>
      </c>
      <c r="D221" s="276" t="s">
        <v>405</v>
      </c>
      <c r="E221" s="275" t="s">
        <v>671</v>
      </c>
      <c r="F221" s="276" t="s">
        <v>672</v>
      </c>
      <c r="G221" s="276"/>
      <c r="H221" s="275" t="s">
        <v>179</v>
      </c>
      <c r="I221" s="275" t="s">
        <v>2449</v>
      </c>
      <c r="J221" s="218" t="s">
        <v>2606</v>
      </c>
      <c r="K221" s="283">
        <v>44582</v>
      </c>
      <c r="L221" s="275"/>
      <c r="M221" s="283">
        <v>44474</v>
      </c>
      <c r="N221" s="283">
        <v>44481</v>
      </c>
      <c r="O221" s="283">
        <v>44533</v>
      </c>
      <c r="P221" s="275" t="s">
        <v>8</v>
      </c>
      <c r="Q221" s="275" t="s">
        <v>24</v>
      </c>
      <c r="R221" s="258" t="s">
        <v>23</v>
      </c>
      <c r="V221" s="275"/>
      <c r="X221" s="275"/>
      <c r="Y221" s="275"/>
      <c r="Z221" s="276" t="str">
        <f>VLOOKUP(功能_33[[#This Row],[User]],SKL放款!A:G,7,FALSE)</f>
        <v>放款服務課</v>
      </c>
      <c r="AA221" s="283">
        <v>44533</v>
      </c>
      <c r="AB221" s="283" t="s">
        <v>119</v>
      </c>
      <c r="AC221" s="283">
        <v>44525</v>
      </c>
      <c r="AD221" s="283">
        <v>44524</v>
      </c>
      <c r="AE221" s="283">
        <v>44539</v>
      </c>
      <c r="AF221" s="283"/>
      <c r="AG221" s="283"/>
      <c r="AH221" s="334"/>
      <c r="AI221" s="283">
        <f>IFERROR(IF(VLOOKUP(功能_33[[#This Row],[功能代號]],E:S,11,FALSE)=0,"",VLOOKUP(功能_33[[#This Row],[功能代號]],E:S,11,FALSE)),"")</f>
        <v>44533</v>
      </c>
      <c r="AJ221" s="283"/>
      <c r="AK221" s="283"/>
      <c r="AL221" s="276"/>
      <c r="AM221" s="283"/>
      <c r="AN221" s="292" t="s">
        <v>2654</v>
      </c>
      <c r="AO221" s="276" t="s">
        <v>2655</v>
      </c>
      <c r="AQ221" s="507" t="str">
        <f t="shared" si="24"/>
        <v>4-7</v>
      </c>
      <c r="AR221" s="509" t="str">
        <f t="shared" si="25"/>
        <v/>
      </c>
      <c r="AS221" s="511" t="str">
        <f t="shared" si="26"/>
        <v/>
      </c>
      <c r="AT221" s="513" t="str">
        <f t="shared" si="27"/>
        <v/>
      </c>
      <c r="AU221" s="515" t="str">
        <f t="shared" si="28"/>
        <v/>
      </c>
      <c r="AV221" s="517" t="str">
        <f t="shared" si="29"/>
        <v/>
      </c>
      <c r="AW221" s="589" t="str">
        <f>IFERROR(VLOOKUP(功能_33[[#This Row],[功能代號]],SIT_FT!D:D,1,FALSE),"")</f>
        <v>L4703</v>
      </c>
    </row>
    <row r="222" spans="1:49" ht="13.5" x14ac:dyDescent="0.3">
      <c r="B222" s="276">
        <v>1</v>
      </c>
      <c r="C222" s="276" t="s">
        <v>79</v>
      </c>
      <c r="D222" s="276" t="s">
        <v>2499</v>
      </c>
      <c r="E222" s="275" t="s">
        <v>673</v>
      </c>
      <c r="F222" s="276" t="s">
        <v>674</v>
      </c>
      <c r="G222" s="276"/>
      <c r="H222" s="275" t="s">
        <v>179</v>
      </c>
      <c r="I222" s="275" t="s">
        <v>180</v>
      </c>
      <c r="J222" s="218" t="s">
        <v>3012</v>
      </c>
      <c r="K222" s="283">
        <v>44572</v>
      </c>
      <c r="L222" s="275"/>
      <c r="M222" s="283">
        <v>44475</v>
      </c>
      <c r="N222" s="283">
        <v>44482</v>
      </c>
      <c r="O222" s="283">
        <v>44482</v>
      </c>
      <c r="P222" s="275" t="s">
        <v>8</v>
      </c>
      <c r="Q222" s="275" t="s">
        <v>11</v>
      </c>
      <c r="V222" s="275"/>
      <c r="X222" s="275"/>
      <c r="Y222" s="275"/>
      <c r="Z222" s="276" t="str">
        <f>VLOOKUP(功能_33[[#This Row],[User]],SKL放款!A:G,7,FALSE)</f>
        <v>放款服務課</v>
      </c>
      <c r="AA222" s="283">
        <v>44496</v>
      </c>
      <c r="AB222" s="283" t="s">
        <v>181</v>
      </c>
      <c r="AC222" s="283">
        <v>44496</v>
      </c>
      <c r="AD222" s="283">
        <v>44496</v>
      </c>
      <c r="AE222" s="217" t="s">
        <v>3014</v>
      </c>
      <c r="AF222" s="283" t="s">
        <v>182</v>
      </c>
      <c r="AG222" s="283"/>
      <c r="AH222" s="334"/>
      <c r="AI222" s="283">
        <f>IFERROR(IF(VLOOKUP(功能_33[[#This Row],[功能代號]],E:S,11,FALSE)=0,"",VLOOKUP(功能_33[[#This Row],[功能代號]],E:S,11,FALSE)),"")</f>
        <v>44482</v>
      </c>
      <c r="AJ222" s="283"/>
      <c r="AK222" s="283"/>
      <c r="AL222" s="276"/>
      <c r="AM222" s="283"/>
      <c r="AN222" s="275">
        <v>330</v>
      </c>
      <c r="AO222" s="276" t="s">
        <v>675</v>
      </c>
      <c r="AQ222" s="507" t="str">
        <f t="shared" si="24"/>
        <v>3-1</v>
      </c>
      <c r="AR222" s="509" t="str">
        <f t="shared" si="25"/>
        <v/>
      </c>
      <c r="AS222" s="511" t="str">
        <f t="shared" si="26"/>
        <v/>
      </c>
      <c r="AT222" s="513" t="str">
        <f t="shared" si="27"/>
        <v/>
      </c>
      <c r="AU222" s="515" t="str">
        <f t="shared" si="28"/>
        <v/>
      </c>
      <c r="AV222" s="517" t="str">
        <f t="shared" si="29"/>
        <v/>
      </c>
      <c r="AW222" s="589" t="str">
        <f>IFERROR(VLOOKUP(功能_33[[#This Row],[功能代號]],SIT_FT!D:D,1,FALSE),"")</f>
        <v>L3921</v>
      </c>
    </row>
    <row r="223" spans="1:49" ht="13.5" hidden="1" x14ac:dyDescent="0.3">
      <c r="B223" s="276">
        <v>1</v>
      </c>
      <c r="C223" s="276" t="s">
        <v>79</v>
      </c>
      <c r="D223" s="276" t="s">
        <v>2499</v>
      </c>
      <c r="E223" s="275" t="s">
        <v>676</v>
      </c>
      <c r="F223" s="276" t="s">
        <v>677</v>
      </c>
      <c r="G223" s="276"/>
      <c r="H223" s="275" t="s">
        <v>179</v>
      </c>
      <c r="I223" s="275" t="s">
        <v>180</v>
      </c>
      <c r="J223" s="218" t="s">
        <v>296</v>
      </c>
      <c r="K223" s="283">
        <v>44572</v>
      </c>
      <c r="L223" s="275"/>
      <c r="M223" s="283">
        <v>44475</v>
      </c>
      <c r="N223" s="283">
        <v>44482</v>
      </c>
      <c r="O223" s="283">
        <v>44482</v>
      </c>
      <c r="P223" s="275" t="s">
        <v>8</v>
      </c>
      <c r="Q223" s="275" t="s">
        <v>11</v>
      </c>
      <c r="R223" s="258" t="s">
        <v>18</v>
      </c>
      <c r="V223" s="275"/>
      <c r="X223" s="275"/>
      <c r="Y223" s="275"/>
      <c r="Z223" s="276" t="str">
        <f>VLOOKUP(功能_33[[#This Row],[User]],SKL放款!A:G,7,FALSE)</f>
        <v>放款服務課</v>
      </c>
      <c r="AA223" s="283">
        <v>44496</v>
      </c>
      <c r="AB223" s="283" t="s">
        <v>181</v>
      </c>
      <c r="AC223" s="283">
        <v>44496</v>
      </c>
      <c r="AD223" s="283">
        <v>44496</v>
      </c>
      <c r="AE223" s="283">
        <v>44512</v>
      </c>
      <c r="AF223" s="283" t="s">
        <v>182</v>
      </c>
      <c r="AG223" s="283"/>
      <c r="AH223" s="334"/>
      <c r="AI223" s="283">
        <f>IFERROR(IF(VLOOKUP(功能_33[[#This Row],[功能代號]],E:S,11,FALSE)=0,"",VLOOKUP(功能_33[[#This Row],[功能代號]],E:S,11,FALSE)),"")</f>
        <v>44482</v>
      </c>
      <c r="AJ223" s="283"/>
      <c r="AK223" s="283"/>
      <c r="AL223" s="276"/>
      <c r="AM223" s="217" t="s">
        <v>678</v>
      </c>
      <c r="AN223" s="275">
        <v>340</v>
      </c>
      <c r="AO223" s="276" t="s">
        <v>679</v>
      </c>
      <c r="AQ223" s="507" t="str">
        <f t="shared" si="24"/>
        <v>3-1</v>
      </c>
      <c r="AR223" s="509" t="str">
        <f t="shared" si="25"/>
        <v/>
      </c>
      <c r="AS223" s="511" t="str">
        <f t="shared" si="26"/>
        <v/>
      </c>
      <c r="AT223" s="513" t="str">
        <f t="shared" si="27"/>
        <v/>
      </c>
      <c r="AU223" s="515" t="str">
        <f t="shared" si="28"/>
        <v/>
      </c>
      <c r="AV223" s="517" t="str">
        <f t="shared" si="29"/>
        <v/>
      </c>
      <c r="AW223" s="589" t="str">
        <f>IFERROR(VLOOKUP(功能_33[[#This Row],[功能代號]],SIT_FT!D:D,1,FALSE),"")</f>
        <v>L3922</v>
      </c>
    </row>
    <row r="224" spans="1:49" ht="13.5" x14ac:dyDescent="0.3">
      <c r="B224" s="276">
        <v>1</v>
      </c>
      <c r="C224" s="276" t="s">
        <v>79</v>
      </c>
      <c r="D224" s="276" t="s">
        <v>2499</v>
      </c>
      <c r="E224" s="275" t="s">
        <v>680</v>
      </c>
      <c r="F224" s="276" t="s">
        <v>681</v>
      </c>
      <c r="G224" s="276"/>
      <c r="H224" s="275" t="s">
        <v>179</v>
      </c>
      <c r="I224" s="275" t="s">
        <v>180</v>
      </c>
      <c r="J224" s="218" t="s">
        <v>3012</v>
      </c>
      <c r="K224" s="283">
        <v>44573</v>
      </c>
      <c r="L224" s="275"/>
      <c r="M224" s="283">
        <v>44475</v>
      </c>
      <c r="N224" s="283">
        <v>44482</v>
      </c>
      <c r="O224" s="283">
        <v>44482</v>
      </c>
      <c r="P224" s="275" t="s">
        <v>8</v>
      </c>
      <c r="Q224" s="275" t="s">
        <v>11</v>
      </c>
      <c r="V224" s="275"/>
      <c r="X224" s="275"/>
      <c r="Y224" s="275"/>
      <c r="Z224" s="276" t="str">
        <f>VLOOKUP(功能_33[[#This Row],[User]],SKL放款!A:G,7,FALSE)</f>
        <v>放款服務課</v>
      </c>
      <c r="AA224" s="283">
        <v>44496</v>
      </c>
      <c r="AB224" s="283" t="s">
        <v>181</v>
      </c>
      <c r="AC224" s="283">
        <v>44496</v>
      </c>
      <c r="AD224" s="283">
        <v>44496</v>
      </c>
      <c r="AE224" s="217" t="s">
        <v>3013</v>
      </c>
      <c r="AF224" s="283" t="s">
        <v>182</v>
      </c>
      <c r="AG224" s="283"/>
      <c r="AH224" s="334"/>
      <c r="AI224" s="283">
        <f>IFERROR(IF(VLOOKUP(功能_33[[#This Row],[功能代號]],E:S,11,FALSE)=0,"",VLOOKUP(功能_33[[#This Row],[功能代號]],E:S,11,FALSE)),"")</f>
        <v>44482</v>
      </c>
      <c r="AJ224" s="283"/>
      <c r="AK224" s="283"/>
      <c r="AL224" s="276"/>
      <c r="AM224" s="283"/>
      <c r="AN224" s="275">
        <v>345</v>
      </c>
      <c r="AO224" s="276" t="s">
        <v>682</v>
      </c>
      <c r="AQ224" s="507" t="str">
        <f t="shared" si="24"/>
        <v>3-1</v>
      </c>
      <c r="AR224" s="509" t="str">
        <f t="shared" si="25"/>
        <v/>
      </c>
      <c r="AS224" s="511" t="str">
        <f t="shared" si="26"/>
        <v/>
      </c>
      <c r="AT224" s="513" t="str">
        <f t="shared" si="27"/>
        <v/>
      </c>
      <c r="AU224" s="515" t="str">
        <f t="shared" si="28"/>
        <v/>
      </c>
      <c r="AV224" s="517" t="str">
        <f t="shared" si="29"/>
        <v/>
      </c>
      <c r="AW224" s="589" t="str">
        <f>IFERROR(VLOOKUP(功能_33[[#This Row],[功能代號]],SIT_FT!D:D,1,FALSE),"")</f>
        <v/>
      </c>
    </row>
    <row r="225" spans="1:49" ht="13.5" hidden="1" x14ac:dyDescent="0.3">
      <c r="B225" s="276">
        <v>1</v>
      </c>
      <c r="C225" s="276" t="s">
        <v>79</v>
      </c>
      <c r="D225" s="276" t="s">
        <v>2499</v>
      </c>
      <c r="E225" s="275" t="s">
        <v>683</v>
      </c>
      <c r="F225" s="276" t="s">
        <v>684</v>
      </c>
      <c r="G225" s="276"/>
      <c r="H225" s="275" t="s">
        <v>179</v>
      </c>
      <c r="I225" s="275" t="s">
        <v>180</v>
      </c>
      <c r="J225" s="218" t="s">
        <v>296</v>
      </c>
      <c r="K225" s="283">
        <v>44573</v>
      </c>
      <c r="L225" s="275"/>
      <c r="M225" s="283">
        <v>44475</v>
      </c>
      <c r="N225" s="283">
        <v>44487</v>
      </c>
      <c r="O225" s="283">
        <v>44487</v>
      </c>
      <c r="P225" s="275" t="s">
        <v>7</v>
      </c>
      <c r="Q225" s="275" t="s">
        <v>24</v>
      </c>
      <c r="R225" s="258" t="s">
        <v>14</v>
      </c>
      <c r="V225" s="275"/>
      <c r="X225" s="275"/>
      <c r="Y225" s="275"/>
      <c r="Z225" s="276" t="str">
        <f>VLOOKUP(功能_33[[#This Row],[User]],SKL放款!A:G,7,FALSE)</f>
        <v>放款服務課</v>
      </c>
      <c r="AA225" s="283">
        <v>44496</v>
      </c>
      <c r="AB225" s="283" t="s">
        <v>181</v>
      </c>
      <c r="AC225" s="283">
        <v>44496</v>
      </c>
      <c r="AD225" s="283">
        <v>44496</v>
      </c>
      <c r="AE225" s="283">
        <v>44512</v>
      </c>
      <c r="AF225" s="283" t="s">
        <v>182</v>
      </c>
      <c r="AG225" s="283"/>
      <c r="AH225" s="334"/>
      <c r="AI225" s="283">
        <f>IFERROR(IF(VLOOKUP(功能_33[[#This Row],[功能代號]],E:S,11,FALSE)=0,"",VLOOKUP(功能_33[[#This Row],[功能代號]],E:S,11,FALSE)),"")</f>
        <v>44487</v>
      </c>
      <c r="AJ225" s="283"/>
      <c r="AK225" s="283"/>
      <c r="AL225" s="276"/>
      <c r="AM225" s="283"/>
      <c r="AN225" s="275">
        <v>365</v>
      </c>
      <c r="AO225" s="276" t="s">
        <v>685</v>
      </c>
      <c r="AQ225" s="507" t="str">
        <f t="shared" si="24"/>
        <v>3-1</v>
      </c>
      <c r="AR225" s="509" t="str">
        <f t="shared" si="25"/>
        <v/>
      </c>
      <c r="AS225" s="511" t="str">
        <f t="shared" si="26"/>
        <v/>
      </c>
      <c r="AT225" s="513" t="str">
        <f t="shared" si="27"/>
        <v/>
      </c>
      <c r="AU225" s="515" t="str">
        <f t="shared" si="28"/>
        <v/>
      </c>
      <c r="AV225" s="517" t="str">
        <f t="shared" si="29"/>
        <v/>
      </c>
      <c r="AW225" s="589" t="str">
        <f>IFERROR(VLOOKUP(功能_33[[#This Row],[功能代號]],SIT_FT!D:D,1,FALSE),"")</f>
        <v>L3924</v>
      </c>
    </row>
    <row r="226" spans="1:49" ht="13.5" x14ac:dyDescent="0.3">
      <c r="B226" s="276">
        <v>1</v>
      </c>
      <c r="C226" s="276" t="s">
        <v>79</v>
      </c>
      <c r="D226" s="276" t="s">
        <v>2499</v>
      </c>
      <c r="E226" s="275" t="s">
        <v>686</v>
      </c>
      <c r="F226" s="276" t="s">
        <v>687</v>
      </c>
      <c r="G226" s="276"/>
      <c r="H226" s="275" t="s">
        <v>179</v>
      </c>
      <c r="I226" s="275" t="s">
        <v>180</v>
      </c>
      <c r="J226" s="218" t="s">
        <v>3012</v>
      </c>
      <c r="K226" s="283">
        <v>44573</v>
      </c>
      <c r="L226" s="275"/>
      <c r="M226" s="283">
        <v>44475</v>
      </c>
      <c r="N226" s="283">
        <v>44482</v>
      </c>
      <c r="O226" s="283">
        <v>44482</v>
      </c>
      <c r="P226" s="275" t="s">
        <v>8</v>
      </c>
      <c r="Q226" s="275" t="s">
        <v>11</v>
      </c>
      <c r="V226" s="275"/>
      <c r="X226" s="275"/>
      <c r="Y226" s="275"/>
      <c r="Z226" s="276" t="str">
        <f>VLOOKUP(功能_33[[#This Row],[User]],SKL放款!A:G,7,FALSE)</f>
        <v>放款服務課</v>
      </c>
      <c r="AA226" s="283">
        <v>44496</v>
      </c>
      <c r="AB226" s="283" t="s">
        <v>181</v>
      </c>
      <c r="AC226" s="283">
        <v>44496</v>
      </c>
      <c r="AD226" s="283">
        <v>44496</v>
      </c>
      <c r="AE226" s="217" t="s">
        <v>3013</v>
      </c>
      <c r="AF226" s="283" t="s">
        <v>182</v>
      </c>
      <c r="AG226" s="283"/>
      <c r="AH226" s="334"/>
      <c r="AI226" s="283">
        <f>IFERROR(IF(VLOOKUP(功能_33[[#This Row],[功能代號]],E:S,11,FALSE)=0,"",VLOOKUP(功能_33[[#This Row],[功能代號]],E:S,11,FALSE)),"")</f>
        <v>44482</v>
      </c>
      <c r="AJ226" s="283"/>
      <c r="AK226" s="283"/>
      <c r="AL226" s="276"/>
      <c r="AM226" s="283"/>
      <c r="AN226" s="275">
        <v>370</v>
      </c>
      <c r="AO226" s="276" t="s">
        <v>688</v>
      </c>
      <c r="AQ226" s="507" t="str">
        <f t="shared" si="24"/>
        <v>3-1</v>
      </c>
      <c r="AR226" s="509" t="str">
        <f t="shared" si="25"/>
        <v/>
      </c>
      <c r="AS226" s="511" t="str">
        <f t="shared" si="26"/>
        <v/>
      </c>
      <c r="AT226" s="513" t="str">
        <f t="shared" si="27"/>
        <v/>
      </c>
      <c r="AU226" s="515" t="str">
        <f t="shared" si="28"/>
        <v/>
      </c>
      <c r="AV226" s="517" t="str">
        <f t="shared" si="29"/>
        <v/>
      </c>
      <c r="AW226" s="589" t="str">
        <f>IFERROR(VLOOKUP(功能_33[[#This Row],[功能代號]],SIT_FT!D:D,1,FALSE),"")</f>
        <v>L3925</v>
      </c>
    </row>
    <row r="227" spans="1:49" ht="13.5" x14ac:dyDescent="0.3">
      <c r="B227" s="276">
        <v>1</v>
      </c>
      <c r="C227" s="276" t="s">
        <v>79</v>
      </c>
      <c r="D227" s="276" t="s">
        <v>2499</v>
      </c>
      <c r="E227" s="275" t="s">
        <v>689</v>
      </c>
      <c r="F227" s="276" t="s">
        <v>690</v>
      </c>
      <c r="G227" s="276"/>
      <c r="H227" s="275" t="s">
        <v>179</v>
      </c>
      <c r="I227" s="275" t="s">
        <v>180</v>
      </c>
      <c r="J227" s="218" t="s">
        <v>3012</v>
      </c>
      <c r="K227" s="283">
        <v>44573</v>
      </c>
      <c r="L227" s="275"/>
      <c r="M227" s="283">
        <v>44475</v>
      </c>
      <c r="N227" s="283">
        <v>44482</v>
      </c>
      <c r="O227" s="283">
        <f>IFERROR(IF(VLOOKUP(功能_33[[#This Row],[功能代號]],討論項目!A:H,8,FALSE)=0,"",VLOOKUP(功能_33[[#This Row],[功能代號]],討論項目!A:H,8,FALSE)),"")</f>
        <v>44510</v>
      </c>
      <c r="P227" s="275" t="s">
        <v>8</v>
      </c>
      <c r="Q227" s="275" t="s">
        <v>11</v>
      </c>
      <c r="V227" s="275"/>
      <c r="X227" s="275"/>
      <c r="Y227" s="275"/>
      <c r="Z227" s="276" t="str">
        <f>VLOOKUP(功能_33[[#This Row],[User]],SKL放款!A:G,7,FALSE)</f>
        <v>放款服務課</v>
      </c>
      <c r="AA227" s="283">
        <v>44496</v>
      </c>
      <c r="AB227" s="283">
        <v>44512</v>
      </c>
      <c r="AC227" s="283">
        <v>44496</v>
      </c>
      <c r="AD227" s="283">
        <v>44496</v>
      </c>
      <c r="AE227" s="217" t="s">
        <v>3013</v>
      </c>
      <c r="AF227" s="283" t="s">
        <v>182</v>
      </c>
      <c r="AG227" s="283"/>
      <c r="AH227" s="334"/>
      <c r="AI227" s="283">
        <f>IFERROR(IF(VLOOKUP(功能_33[[#This Row],[功能代號]],E:S,11,FALSE)=0,"",VLOOKUP(功能_33[[#This Row],[功能代號]],E:S,11,FALSE)),"")</f>
        <v>44510</v>
      </c>
      <c r="AJ227" s="283"/>
      <c r="AK227" s="283"/>
      <c r="AL227" s="276"/>
      <c r="AM227" s="283"/>
      <c r="AN227" s="275">
        <v>375</v>
      </c>
      <c r="AO227" s="276" t="s">
        <v>691</v>
      </c>
      <c r="AQ227" s="507" t="str">
        <f t="shared" si="24"/>
        <v>3-1</v>
      </c>
      <c r="AR227" s="509" t="str">
        <f t="shared" si="25"/>
        <v/>
      </c>
      <c r="AS227" s="511" t="str">
        <f t="shared" si="26"/>
        <v/>
      </c>
      <c r="AT227" s="513" t="str">
        <f t="shared" si="27"/>
        <v/>
      </c>
      <c r="AU227" s="515" t="str">
        <f t="shared" si="28"/>
        <v/>
      </c>
      <c r="AV227" s="517" t="str">
        <f t="shared" si="29"/>
        <v/>
      </c>
      <c r="AW227" s="589" t="str">
        <f>IFERROR(VLOOKUP(功能_33[[#This Row],[功能代號]],SIT_FT!D:D,1,FALSE),"")</f>
        <v>L3926</v>
      </c>
    </row>
    <row r="228" spans="1:49" ht="13.5" x14ac:dyDescent="0.3">
      <c r="B228" s="276">
        <v>1</v>
      </c>
      <c r="C228" s="276" t="s">
        <v>79</v>
      </c>
      <c r="D228" s="337" t="s">
        <v>2502</v>
      </c>
      <c r="E228" s="275" t="s">
        <v>692</v>
      </c>
      <c r="F228" s="276" t="s">
        <v>693</v>
      </c>
      <c r="G228" s="276"/>
      <c r="H228" s="275" t="s">
        <v>179</v>
      </c>
      <c r="I228" s="275" t="s">
        <v>180</v>
      </c>
      <c r="J228" s="218" t="s">
        <v>3012</v>
      </c>
      <c r="K228" s="283">
        <v>44580</v>
      </c>
      <c r="L228" s="275"/>
      <c r="M228" s="283">
        <v>44475</v>
      </c>
      <c r="N228" s="283">
        <v>44482</v>
      </c>
      <c r="O228" s="283">
        <v>44482</v>
      </c>
      <c r="P228" s="275" t="s">
        <v>8</v>
      </c>
      <c r="Q228" s="275" t="s">
        <v>11</v>
      </c>
      <c r="V228" s="275"/>
      <c r="X228" s="275"/>
      <c r="Y228" s="275"/>
      <c r="Z228" s="276" t="str">
        <f>VLOOKUP(功能_33[[#This Row],[User]],SKL放款!A:G,7,FALSE)</f>
        <v>放款服務課</v>
      </c>
      <c r="AA228" s="283">
        <v>44496</v>
      </c>
      <c r="AB228" s="283" t="s">
        <v>181</v>
      </c>
      <c r="AC228" s="283">
        <v>44496</v>
      </c>
      <c r="AD228" s="283">
        <v>44496</v>
      </c>
      <c r="AE228" s="217" t="s">
        <v>3013</v>
      </c>
      <c r="AF228" s="283" t="s">
        <v>182</v>
      </c>
      <c r="AG228" s="283"/>
      <c r="AH228" s="334"/>
      <c r="AI228" s="283">
        <f>IFERROR(IF(VLOOKUP(功能_33[[#This Row],[功能代號]],E:S,11,FALSE)=0,"",VLOOKUP(功能_33[[#This Row],[功能代號]],E:S,11,FALSE)),"")</f>
        <v>44482</v>
      </c>
      <c r="AJ228" s="283"/>
      <c r="AK228" s="283"/>
      <c r="AL228" s="276"/>
      <c r="AM228" s="283"/>
      <c r="AN228" s="275" t="s">
        <v>176</v>
      </c>
      <c r="AQ228" s="507" t="str">
        <f t="shared" si="24"/>
        <v>3-3</v>
      </c>
      <c r="AR228" s="509" t="str">
        <f t="shared" si="25"/>
        <v/>
      </c>
      <c r="AS228" s="511" t="str">
        <f t="shared" si="26"/>
        <v/>
      </c>
      <c r="AT228" s="513" t="str">
        <f t="shared" si="27"/>
        <v/>
      </c>
      <c r="AU228" s="515" t="str">
        <f t="shared" si="28"/>
        <v/>
      </c>
      <c r="AV228" s="517" t="str">
        <f t="shared" si="29"/>
        <v/>
      </c>
      <c r="AW228" s="589" t="str">
        <f>IFERROR(VLOOKUP(功能_33[[#This Row],[功能代號]],SIT_FT!D:D,1,FALSE),"")</f>
        <v>L3004</v>
      </c>
    </row>
    <row r="229" spans="1:49" ht="13.5" hidden="1" x14ac:dyDescent="0.3">
      <c r="B229" s="276">
        <v>1</v>
      </c>
      <c r="C229" s="276" t="s">
        <v>79</v>
      </c>
      <c r="D229" s="337" t="s">
        <v>2502</v>
      </c>
      <c r="E229" s="275" t="s">
        <v>694</v>
      </c>
      <c r="F229" s="276" t="s">
        <v>695</v>
      </c>
      <c r="G229" s="276"/>
      <c r="H229" s="275" t="s">
        <v>179</v>
      </c>
      <c r="I229" s="275" t="s">
        <v>180</v>
      </c>
      <c r="J229" s="218" t="s">
        <v>296</v>
      </c>
      <c r="K229" s="283">
        <v>44580</v>
      </c>
      <c r="L229" s="275"/>
      <c r="M229" s="283">
        <v>44475</v>
      </c>
      <c r="N229" s="283">
        <v>44482</v>
      </c>
      <c r="O229" s="283">
        <f>IFERROR(IF(VLOOKUP(功能_33[[#This Row],[功能代號]],討論項目!A:H,8,FALSE)=0,"",VLOOKUP(功能_33[[#This Row],[功能代號]],討論項目!A:H,8,FALSE)),"")</f>
        <v>44510</v>
      </c>
      <c r="P229" s="275" t="s">
        <v>8</v>
      </c>
      <c r="Q229" s="275" t="s">
        <v>11</v>
      </c>
      <c r="R229" s="258" t="s">
        <v>23</v>
      </c>
      <c r="V229" s="275"/>
      <c r="X229" s="275"/>
      <c r="Y229" s="275"/>
      <c r="Z229" s="276" t="str">
        <f>VLOOKUP(功能_33[[#This Row],[User]],SKL放款!A:G,7,FALSE)</f>
        <v>放款服務課</v>
      </c>
      <c r="AA229" s="283">
        <v>44496</v>
      </c>
      <c r="AB229" s="283">
        <v>44512</v>
      </c>
      <c r="AC229" s="283">
        <v>44496</v>
      </c>
      <c r="AD229" s="283">
        <v>44496</v>
      </c>
      <c r="AE229" s="283">
        <v>44512</v>
      </c>
      <c r="AF229" s="283" t="s">
        <v>182</v>
      </c>
      <c r="AG229" s="283"/>
      <c r="AH229" s="334"/>
      <c r="AI229" s="283">
        <f>IFERROR(IF(VLOOKUP(功能_33[[#This Row],[功能代號]],E:S,11,FALSE)=0,"",VLOOKUP(功能_33[[#This Row],[功能代號]],E:S,11,FALSE)),"")</f>
        <v>44510</v>
      </c>
      <c r="AJ229" s="283"/>
      <c r="AK229" s="283"/>
      <c r="AL229" s="276"/>
      <c r="AM229" s="283"/>
      <c r="AN229" s="275" t="s">
        <v>176</v>
      </c>
      <c r="AQ229" s="507" t="str">
        <f t="shared" si="24"/>
        <v>3-3</v>
      </c>
      <c r="AR229" s="509" t="str">
        <f t="shared" si="25"/>
        <v/>
      </c>
      <c r="AS229" s="511" t="str">
        <f t="shared" si="26"/>
        <v/>
      </c>
      <c r="AT229" s="513" t="str">
        <f t="shared" si="27"/>
        <v/>
      </c>
      <c r="AU229" s="515" t="str">
        <f t="shared" si="28"/>
        <v/>
      </c>
      <c r="AV229" s="517" t="str">
        <f t="shared" si="29"/>
        <v/>
      </c>
      <c r="AW229" s="589" t="str">
        <f>IFERROR(VLOOKUP(功能_33[[#This Row],[功能代號]],SIT_FT!D:D,1,FALSE),"")</f>
        <v>L3130</v>
      </c>
    </row>
    <row r="230" spans="1:49" ht="13.5" x14ac:dyDescent="0.3">
      <c r="B230" s="276">
        <v>1</v>
      </c>
      <c r="C230" s="276" t="s">
        <v>79</v>
      </c>
      <c r="D230" s="337" t="s">
        <v>2502</v>
      </c>
      <c r="E230" s="275" t="s">
        <v>696</v>
      </c>
      <c r="F230" s="276" t="s">
        <v>697</v>
      </c>
      <c r="G230" s="276"/>
      <c r="H230" s="275" t="s">
        <v>179</v>
      </c>
      <c r="I230" s="275" t="s">
        <v>180</v>
      </c>
      <c r="J230" s="218" t="s">
        <v>3012</v>
      </c>
      <c r="K230" s="283">
        <v>44578</v>
      </c>
      <c r="L230" s="275"/>
      <c r="M230" s="283">
        <v>44475</v>
      </c>
      <c r="N230" s="283">
        <v>44482</v>
      </c>
      <c r="O230" s="283">
        <v>44482</v>
      </c>
      <c r="P230" s="275" t="s">
        <v>8</v>
      </c>
      <c r="Q230" s="275" t="s">
        <v>11</v>
      </c>
      <c r="V230" s="275"/>
      <c r="X230" s="275"/>
      <c r="Y230" s="275"/>
      <c r="Z230" s="276" t="str">
        <f>VLOOKUP(功能_33[[#This Row],[User]],SKL放款!A:G,7,FALSE)</f>
        <v>放款服務課</v>
      </c>
      <c r="AA230" s="283">
        <v>44496</v>
      </c>
      <c r="AB230" s="283">
        <v>44512</v>
      </c>
      <c r="AC230" s="283">
        <v>44496</v>
      </c>
      <c r="AD230" s="283">
        <v>44496</v>
      </c>
      <c r="AE230" s="217" t="s">
        <v>3013</v>
      </c>
      <c r="AF230" s="283" t="s">
        <v>182</v>
      </c>
      <c r="AG230" s="283"/>
      <c r="AH230" s="334"/>
      <c r="AI230" s="283">
        <f>IFERROR(IF(VLOOKUP(功能_33[[#This Row],[功能代號]],E:S,11,FALSE)=0,"",VLOOKUP(功能_33[[#This Row],[功能代號]],E:S,11,FALSE)),"")</f>
        <v>44482</v>
      </c>
      <c r="AJ230" s="283"/>
      <c r="AK230" s="283"/>
      <c r="AL230" s="276"/>
      <c r="AM230" s="283"/>
      <c r="AN230" s="275">
        <v>331</v>
      </c>
      <c r="AO230" s="276" t="s">
        <v>698</v>
      </c>
      <c r="AQ230" s="507" t="str">
        <f t="shared" si="24"/>
        <v>3-3</v>
      </c>
      <c r="AR230" s="509" t="str">
        <f t="shared" si="25"/>
        <v/>
      </c>
      <c r="AS230" s="511" t="str">
        <f t="shared" si="26"/>
        <v/>
      </c>
      <c r="AT230" s="513" t="str">
        <f t="shared" si="27"/>
        <v/>
      </c>
      <c r="AU230" s="515" t="str">
        <f t="shared" si="28"/>
        <v/>
      </c>
      <c r="AV230" s="517" t="str">
        <f t="shared" si="29"/>
        <v/>
      </c>
      <c r="AW230" s="589" t="str">
        <f>IFERROR(VLOOKUP(功能_33[[#This Row],[功能代號]],SIT_FT!D:D,1,FALSE),"")</f>
        <v>L3200</v>
      </c>
    </row>
    <row r="231" spans="1:49" ht="13.5" x14ac:dyDescent="0.3">
      <c r="B231" s="276">
        <v>1</v>
      </c>
      <c r="C231" s="276" t="s">
        <v>79</v>
      </c>
      <c r="D231" s="337" t="s">
        <v>2502</v>
      </c>
      <c r="E231" s="275" t="s">
        <v>699</v>
      </c>
      <c r="F231" s="276" t="s">
        <v>700</v>
      </c>
      <c r="G231" s="276"/>
      <c r="H231" s="275" t="s">
        <v>179</v>
      </c>
      <c r="I231" s="275" t="s">
        <v>180</v>
      </c>
      <c r="J231" s="218" t="s">
        <v>3012</v>
      </c>
      <c r="K231" s="283">
        <v>44578</v>
      </c>
      <c r="L231" s="275"/>
      <c r="M231" s="283">
        <v>44475</v>
      </c>
      <c r="N231" s="283">
        <v>44482</v>
      </c>
      <c r="O231" s="283">
        <f>IFERROR(IF(VLOOKUP(功能_33[[#This Row],[功能代號]],討論項目!A:H,8,FALSE)=0,"",VLOOKUP(功能_33[[#This Row],[功能代號]],討論項目!A:H,8,FALSE)),"")</f>
        <v>44487</v>
      </c>
      <c r="P231" s="275" t="s">
        <v>8</v>
      </c>
      <c r="Q231" s="275" t="s">
        <v>24</v>
      </c>
      <c r="R231" s="258" t="s">
        <v>14</v>
      </c>
      <c r="V231" s="275"/>
      <c r="X231" s="275"/>
      <c r="Y231" s="275"/>
      <c r="Z231" s="276" t="str">
        <f>VLOOKUP(功能_33[[#This Row],[User]],SKL放款!A:G,7,FALSE)</f>
        <v>放款服務課</v>
      </c>
      <c r="AA231" s="283">
        <v>44496</v>
      </c>
      <c r="AB231" s="283">
        <v>44512</v>
      </c>
      <c r="AC231" s="283">
        <v>44496</v>
      </c>
      <c r="AD231" s="283">
        <v>44496</v>
      </c>
      <c r="AE231" s="217" t="s">
        <v>3013</v>
      </c>
      <c r="AF231" s="283" t="s">
        <v>182</v>
      </c>
      <c r="AG231" s="283"/>
      <c r="AH231" s="334"/>
      <c r="AI231" s="283">
        <f>IFERROR(IF(VLOOKUP(功能_33[[#This Row],[功能代號]],E:S,11,FALSE)=0,"",VLOOKUP(功能_33[[#This Row],[功能代號]],E:S,11,FALSE)),"")</f>
        <v>44487</v>
      </c>
      <c r="AJ231" s="283"/>
      <c r="AK231" s="283"/>
      <c r="AL231" s="276"/>
      <c r="AM231" s="217" t="s">
        <v>701</v>
      </c>
      <c r="AN231" s="275" t="s">
        <v>176</v>
      </c>
      <c r="AQ231" s="507" t="str">
        <f t="shared" si="24"/>
        <v>3-3</v>
      </c>
      <c r="AR231" s="509" t="str">
        <f t="shared" si="25"/>
        <v/>
      </c>
      <c r="AS231" s="511" t="str">
        <f t="shared" si="26"/>
        <v/>
      </c>
      <c r="AT231" s="513" t="str">
        <f t="shared" si="27"/>
        <v/>
      </c>
      <c r="AU231" s="515" t="str">
        <f t="shared" si="28"/>
        <v/>
      </c>
      <c r="AV231" s="517" t="str">
        <f t="shared" si="29"/>
        <v/>
      </c>
      <c r="AW231" s="589" t="str">
        <f>IFERROR(VLOOKUP(功能_33[[#This Row],[功能代號]],SIT_FT!D:D,1,FALSE),"")</f>
        <v>L3230</v>
      </c>
    </row>
    <row r="232" spans="1:49" ht="13.5" hidden="1" x14ac:dyDescent="0.3">
      <c r="C232" s="276" t="s">
        <v>79</v>
      </c>
      <c r="D232" s="337" t="s">
        <v>2502</v>
      </c>
      <c r="E232" s="275" t="s">
        <v>2464</v>
      </c>
      <c r="F232" s="276" t="s">
        <v>2465</v>
      </c>
      <c r="G232" s="276" t="s">
        <v>2466</v>
      </c>
      <c r="H232" s="275" t="s">
        <v>179</v>
      </c>
      <c r="I232" s="275" t="s">
        <v>180</v>
      </c>
      <c r="J232" s="218" t="s">
        <v>2704</v>
      </c>
      <c r="K232" s="283">
        <v>44578</v>
      </c>
      <c r="L232" s="275"/>
      <c r="M232" s="283">
        <v>44475</v>
      </c>
      <c r="N232" s="283">
        <v>44482</v>
      </c>
      <c r="O232" s="283">
        <v>44537</v>
      </c>
      <c r="P232" s="275" t="s">
        <v>8</v>
      </c>
      <c r="Q232" s="275" t="s">
        <v>24</v>
      </c>
      <c r="R232" s="258" t="s">
        <v>14</v>
      </c>
      <c r="V232" s="275"/>
      <c r="X232" s="275"/>
      <c r="Y232" s="275"/>
      <c r="Z232" s="276" t="str">
        <f>VLOOKUP(功能_33[[#This Row],[User]],SKL放款!A:G,7,FALSE)</f>
        <v>放款服務課</v>
      </c>
      <c r="AA232" s="283">
        <v>44533</v>
      </c>
      <c r="AB232" s="283">
        <v>44512</v>
      </c>
      <c r="AC232" s="283">
        <v>44496</v>
      </c>
      <c r="AD232" s="283">
        <v>44496</v>
      </c>
      <c r="AE232" s="283">
        <v>44539</v>
      </c>
      <c r="AF232" s="283" t="s">
        <v>182</v>
      </c>
      <c r="AG232" s="283"/>
      <c r="AH232" s="334"/>
      <c r="AI232" s="283">
        <f>IFERROR(IF(VLOOKUP(功能_33[[#This Row],[功能代號]],E:S,11,FALSE)=0,"",VLOOKUP(功能_33[[#This Row],[功能代號]],E:S,11,FALSE)),"")</f>
        <v>44537</v>
      </c>
      <c r="AJ232" s="283"/>
      <c r="AK232" s="283"/>
      <c r="AL232" s="276"/>
      <c r="AM232" s="217" t="s">
        <v>701</v>
      </c>
      <c r="AN232" s="275" t="s">
        <v>176</v>
      </c>
      <c r="AQ232" s="507" t="str">
        <f t="shared" si="24"/>
        <v>3-3</v>
      </c>
      <c r="AR232" s="509" t="str">
        <f t="shared" si="25"/>
        <v/>
      </c>
      <c r="AS232" s="511" t="str">
        <f t="shared" si="26"/>
        <v/>
      </c>
      <c r="AT232" s="513" t="str">
        <f t="shared" si="27"/>
        <v/>
      </c>
      <c r="AU232" s="515" t="str">
        <f t="shared" si="28"/>
        <v/>
      </c>
      <c r="AV232" s="517" t="str">
        <f t="shared" si="29"/>
        <v/>
      </c>
      <c r="AW232" s="589" t="str">
        <f>IFERROR(VLOOKUP(功能_33[[#This Row],[功能代號]],SIT_FT!D:D,1,FALSE),"")</f>
        <v>L3240</v>
      </c>
    </row>
    <row r="233" spans="1:49" ht="13.5" hidden="1" x14ac:dyDescent="0.3">
      <c r="B233" s="276">
        <v>1</v>
      </c>
      <c r="C233" s="276" t="s">
        <v>79</v>
      </c>
      <c r="D233" s="337" t="s">
        <v>2503</v>
      </c>
      <c r="E233" s="275" t="s">
        <v>702</v>
      </c>
      <c r="F233" s="276" t="s">
        <v>703</v>
      </c>
      <c r="G233" s="276"/>
      <c r="H233" s="275" t="s">
        <v>179</v>
      </c>
      <c r="I233" s="275" t="s">
        <v>180</v>
      </c>
      <c r="J233" s="218" t="s">
        <v>296</v>
      </c>
      <c r="K233" s="283">
        <v>44578</v>
      </c>
      <c r="L233" s="275"/>
      <c r="M233" s="283">
        <v>44475</v>
      </c>
      <c r="N233" s="283">
        <v>44487</v>
      </c>
      <c r="O233" s="283">
        <v>44487</v>
      </c>
      <c r="P233" s="275" t="s">
        <v>12</v>
      </c>
      <c r="Q233" s="275" t="s">
        <v>24</v>
      </c>
      <c r="V233" s="275"/>
      <c r="X233" s="275"/>
      <c r="Y233" s="275"/>
      <c r="Z233" s="276" t="str">
        <f>VLOOKUP(功能_33[[#This Row],[User]],SKL放款!A:G,7,FALSE)</f>
        <v>放款服務課</v>
      </c>
      <c r="AA233" s="283">
        <v>44496</v>
      </c>
      <c r="AB233" s="283" t="s">
        <v>181</v>
      </c>
      <c r="AC233" s="283">
        <v>44496</v>
      </c>
      <c r="AD233" s="283">
        <v>44496</v>
      </c>
      <c r="AE233" s="283">
        <v>44512</v>
      </c>
      <c r="AF233" s="283" t="s">
        <v>182</v>
      </c>
      <c r="AG233" s="283"/>
      <c r="AH233" s="334"/>
      <c r="AI233" s="283">
        <f>IFERROR(IF(VLOOKUP(功能_33[[#This Row],[功能代號]],E:S,11,FALSE)=0,"",VLOOKUP(功能_33[[#This Row],[功能代號]],E:S,11,FALSE)),"")</f>
        <v>44487</v>
      </c>
      <c r="AJ233" s="283"/>
      <c r="AK233" s="283"/>
      <c r="AL233" s="276"/>
      <c r="AM233" s="283"/>
      <c r="AN233" s="275">
        <v>341</v>
      </c>
      <c r="AO233" s="276" t="s">
        <v>704</v>
      </c>
      <c r="AQ233" s="507" t="str">
        <f t="shared" si="24"/>
        <v>3-4</v>
      </c>
      <c r="AR233" s="509" t="str">
        <f t="shared" si="25"/>
        <v/>
      </c>
      <c r="AS233" s="511" t="str">
        <f t="shared" si="26"/>
        <v/>
      </c>
      <c r="AT233" s="513" t="str">
        <f t="shared" si="27"/>
        <v/>
      </c>
      <c r="AU233" s="515" t="str">
        <f t="shared" si="28"/>
        <v/>
      </c>
      <c r="AV233" s="517" t="str">
        <f t="shared" si="29"/>
        <v/>
      </c>
      <c r="AW233" s="589" t="str">
        <f>IFERROR(VLOOKUP(功能_33[[#This Row],[功能代號]],SIT_FT!D:D,1,FALSE),"")</f>
        <v/>
      </c>
    </row>
    <row r="234" spans="1:49" ht="13.5" hidden="1" x14ac:dyDescent="0.3">
      <c r="B234" s="276">
        <v>1</v>
      </c>
      <c r="C234" s="276" t="s">
        <v>79</v>
      </c>
      <c r="D234" s="337" t="s">
        <v>2503</v>
      </c>
      <c r="E234" s="275" t="s">
        <v>705</v>
      </c>
      <c r="F234" s="276" t="s">
        <v>706</v>
      </c>
      <c r="G234" s="276"/>
      <c r="H234" s="275" t="s">
        <v>179</v>
      </c>
      <c r="I234" s="275" t="s">
        <v>180</v>
      </c>
      <c r="J234" s="218" t="s">
        <v>296</v>
      </c>
      <c r="K234" s="283">
        <v>44579</v>
      </c>
      <c r="L234" s="275"/>
      <c r="M234" s="283">
        <v>44475</v>
      </c>
      <c r="N234" s="283">
        <v>44482</v>
      </c>
      <c r="O234" s="283">
        <v>44482</v>
      </c>
      <c r="P234" s="275" t="s">
        <v>12</v>
      </c>
      <c r="Q234" s="275" t="s">
        <v>11</v>
      </c>
      <c r="R234" s="258" t="s">
        <v>18</v>
      </c>
      <c r="V234" s="275"/>
      <c r="X234" s="275"/>
      <c r="Y234" s="275"/>
      <c r="Z234" s="276" t="str">
        <f>VLOOKUP(功能_33[[#This Row],[User]],SKL放款!A:G,7,FALSE)</f>
        <v>放款服務課</v>
      </c>
      <c r="AA234" s="283">
        <v>44496</v>
      </c>
      <c r="AB234" s="283" t="s">
        <v>181</v>
      </c>
      <c r="AC234" s="283">
        <v>44496</v>
      </c>
      <c r="AD234" s="283">
        <v>44496</v>
      </c>
      <c r="AE234" s="283">
        <v>44512</v>
      </c>
      <c r="AF234" s="283" t="s">
        <v>182</v>
      </c>
      <c r="AG234" s="283"/>
      <c r="AH234" s="334"/>
      <c r="AI234" s="283">
        <f>IFERROR(IF(VLOOKUP(功能_33[[#This Row],[功能代號]],E:S,11,FALSE)=0,"",VLOOKUP(功能_33[[#This Row],[功能代號]],E:S,11,FALSE)),"")</f>
        <v>44482</v>
      </c>
      <c r="AJ234" s="283"/>
      <c r="AK234" s="283"/>
      <c r="AL234" s="276"/>
      <c r="AM234" s="217" t="s">
        <v>678</v>
      </c>
      <c r="AN234" s="275">
        <v>342</v>
      </c>
      <c r="AO234" s="276" t="s">
        <v>706</v>
      </c>
      <c r="AQ234" s="507" t="str">
        <f t="shared" si="24"/>
        <v>3-4</v>
      </c>
      <c r="AR234" s="509" t="str">
        <f t="shared" si="25"/>
        <v/>
      </c>
      <c r="AS234" s="511" t="str">
        <f t="shared" si="26"/>
        <v/>
      </c>
      <c r="AT234" s="513" t="str">
        <f t="shared" si="27"/>
        <v/>
      </c>
      <c r="AU234" s="515" t="str">
        <f t="shared" si="28"/>
        <v/>
      </c>
      <c r="AV234" s="517" t="str">
        <f t="shared" si="29"/>
        <v/>
      </c>
      <c r="AW234" s="589" t="str">
        <f>IFERROR(VLOOKUP(功能_33[[#This Row],[功能代號]],SIT_FT!D:D,1,FALSE),"")</f>
        <v>L3420</v>
      </c>
    </row>
    <row r="235" spans="1:49" ht="13.5" x14ac:dyDescent="0.3">
      <c r="B235" s="276">
        <v>1</v>
      </c>
      <c r="C235" s="276" t="s">
        <v>79</v>
      </c>
      <c r="D235" s="337" t="s">
        <v>2502</v>
      </c>
      <c r="E235" s="275" t="s">
        <v>707</v>
      </c>
      <c r="F235" s="276" t="s">
        <v>708</v>
      </c>
      <c r="G235" s="276"/>
      <c r="H235" s="275" t="s">
        <v>179</v>
      </c>
      <c r="I235" s="275" t="s">
        <v>180</v>
      </c>
      <c r="J235" s="218" t="s">
        <v>3012</v>
      </c>
      <c r="K235" s="283">
        <v>44579</v>
      </c>
      <c r="L235" s="275"/>
      <c r="M235" s="283">
        <v>44475</v>
      </c>
      <c r="N235" s="283">
        <v>44482</v>
      </c>
      <c r="O235" s="283">
        <f>IFERROR(IF(VLOOKUP(功能_33[[#This Row],[功能代號]],討論項目!A:H,8,FALSE)=0,"",VLOOKUP(功能_33[[#This Row],[功能代號]],討論項目!A:H,8,FALSE)),"")</f>
        <v>44510</v>
      </c>
      <c r="P235" s="275" t="s">
        <v>8</v>
      </c>
      <c r="Q235" s="275" t="s">
        <v>24</v>
      </c>
      <c r="R235" s="258" t="s">
        <v>14</v>
      </c>
      <c r="V235" s="275"/>
      <c r="X235" s="275"/>
      <c r="Y235" s="275"/>
      <c r="Z235" s="276" t="str">
        <f>VLOOKUP(功能_33[[#This Row],[User]],SKL放款!A:G,7,FALSE)</f>
        <v>放款服務課</v>
      </c>
      <c r="AA235" s="283">
        <v>44496</v>
      </c>
      <c r="AB235" s="283">
        <v>44512</v>
      </c>
      <c r="AC235" s="283">
        <v>44496</v>
      </c>
      <c r="AD235" s="283">
        <v>44496</v>
      </c>
      <c r="AE235" s="217" t="s">
        <v>3013</v>
      </c>
      <c r="AF235" s="283" t="s">
        <v>182</v>
      </c>
      <c r="AG235" s="283"/>
      <c r="AH235" s="334"/>
      <c r="AI235" s="283">
        <f>IFERROR(IF(VLOOKUP(功能_33[[#This Row],[功能代號]],E:S,11,FALSE)=0,"",VLOOKUP(功能_33[[#This Row],[功能代號]],E:S,11,FALSE)),"")</f>
        <v>44510</v>
      </c>
      <c r="AJ235" s="283"/>
      <c r="AK235" s="283"/>
      <c r="AL235" s="276"/>
      <c r="AM235" s="217" t="s">
        <v>678</v>
      </c>
      <c r="AN235" s="275">
        <v>632</v>
      </c>
      <c r="AO235" s="276" t="s">
        <v>708</v>
      </c>
      <c r="AQ235" s="507" t="str">
        <f t="shared" si="24"/>
        <v>3-3</v>
      </c>
      <c r="AR235" s="509" t="str">
        <f t="shared" si="25"/>
        <v/>
      </c>
      <c r="AS235" s="511" t="str">
        <f t="shared" si="26"/>
        <v/>
      </c>
      <c r="AT235" s="513" t="str">
        <f t="shared" si="27"/>
        <v/>
      </c>
      <c r="AU235" s="515" t="str">
        <f t="shared" si="28"/>
        <v/>
      </c>
      <c r="AV235" s="517" t="str">
        <f t="shared" si="29"/>
        <v/>
      </c>
      <c r="AW235" s="589" t="str">
        <f>IFERROR(VLOOKUP(功能_33[[#This Row],[功能代號]],SIT_FT!D:D,1,FALSE),"")</f>
        <v/>
      </c>
    </row>
    <row r="236" spans="1:49" ht="13.5" hidden="1" x14ac:dyDescent="0.3">
      <c r="A236" s="561"/>
      <c r="B236" s="374"/>
      <c r="C236" s="276" t="s">
        <v>82</v>
      </c>
      <c r="D236" s="276" t="s">
        <v>2504</v>
      </c>
      <c r="E236" s="275" t="s">
        <v>2877</v>
      </c>
      <c r="F236" s="267" t="s">
        <v>2878</v>
      </c>
      <c r="G236" s="276" t="s">
        <v>2874</v>
      </c>
      <c r="H236" s="275" t="s">
        <v>179</v>
      </c>
      <c r="I236" s="275" t="s">
        <v>180</v>
      </c>
      <c r="J236" s="218" t="s">
        <v>2879</v>
      </c>
      <c r="K236" s="283">
        <v>44571</v>
      </c>
      <c r="L236" s="275"/>
      <c r="M236" s="283">
        <v>44475</v>
      </c>
      <c r="N236" s="283">
        <v>44482</v>
      </c>
      <c r="O236" s="283" t="str">
        <f>IFERROR(IF(VLOOKUP(功能_33[[#This Row],[功能代號]],討論項目!A:H,8,FALSE)=0,"",VLOOKUP(功能_33[[#This Row],[功能代號]],討論項目!A:H,8,FALSE)),"")</f>
        <v/>
      </c>
      <c r="P236" s="275" t="s">
        <v>8</v>
      </c>
      <c r="Q236" s="258" t="s">
        <v>14</v>
      </c>
      <c r="V236" s="275"/>
      <c r="X236" s="275"/>
      <c r="Y236" s="275"/>
      <c r="Z236" s="374" t="str">
        <f>VLOOKUP(功能_33[[#This Row],[User]],SKL放款!A:G,7,FALSE)</f>
        <v>放款管理課</v>
      </c>
      <c r="AA236" s="283">
        <v>44496</v>
      </c>
      <c r="AB236" s="283">
        <v>44512</v>
      </c>
      <c r="AC236" s="283">
        <v>44496</v>
      </c>
      <c r="AD236" s="283">
        <v>44496</v>
      </c>
      <c r="AE236" s="283">
        <v>44512</v>
      </c>
      <c r="AF236" s="269"/>
      <c r="AG236" s="269"/>
      <c r="AH236" s="269"/>
      <c r="AI236" s="269" t="str">
        <f>IFERROR(IF(VLOOKUP(功能_33[[#This Row],[功能代號]],E:S,11,FALSE)=0,"",VLOOKUP(功能_33[[#This Row],[功能代號]],E:S,11,FALSE)),"")</f>
        <v/>
      </c>
      <c r="AJ236" s="269"/>
      <c r="AK236" s="269"/>
      <c r="AL236" s="374"/>
      <c r="AN236" s="587" t="s">
        <v>2623</v>
      </c>
      <c r="AO236" s="374"/>
      <c r="AQ236" s="562" t="str">
        <f t="shared" si="24"/>
        <v>6-8</v>
      </c>
      <c r="AR236" s="509" t="str">
        <f t="shared" si="25"/>
        <v/>
      </c>
      <c r="AS236" s="511" t="str">
        <f t="shared" si="26"/>
        <v/>
      </c>
      <c r="AT236" s="513" t="str">
        <f t="shared" si="27"/>
        <v/>
      </c>
      <c r="AU236" s="515" t="str">
        <f t="shared" si="28"/>
        <v/>
      </c>
      <c r="AV236" s="517" t="str">
        <f t="shared" si="29"/>
        <v/>
      </c>
      <c r="AW236" s="589" t="str">
        <f>IFERROR(VLOOKUP(功能_33[[#This Row],[功能代號]],SIT_FT!D:D,1,FALSE),"")</f>
        <v/>
      </c>
    </row>
    <row r="237" spans="1:49" ht="13.5" x14ac:dyDescent="0.3">
      <c r="B237" s="276">
        <v>1</v>
      </c>
      <c r="C237" s="276" t="s">
        <v>79</v>
      </c>
      <c r="D237" s="337" t="s">
        <v>2502</v>
      </c>
      <c r="E237" s="275" t="s">
        <v>709</v>
      </c>
      <c r="F237" s="276" t="s">
        <v>710</v>
      </c>
      <c r="G237" s="276"/>
      <c r="H237" s="275" t="s">
        <v>179</v>
      </c>
      <c r="I237" s="275" t="s">
        <v>180</v>
      </c>
      <c r="J237" s="218" t="s">
        <v>3012</v>
      </c>
      <c r="K237" s="283">
        <v>44579</v>
      </c>
      <c r="L237" s="275"/>
      <c r="M237" s="283">
        <v>44475</v>
      </c>
      <c r="N237" s="283">
        <v>44482</v>
      </c>
      <c r="O237" s="283">
        <v>44482</v>
      </c>
      <c r="P237" s="275" t="s">
        <v>12</v>
      </c>
      <c r="Q237" s="275" t="s">
        <v>11</v>
      </c>
      <c r="V237" s="275"/>
      <c r="X237" s="275"/>
      <c r="Y237" s="275"/>
      <c r="Z237" s="276" t="str">
        <f>VLOOKUP(功能_33[[#This Row],[User]],SKL放款!A:G,7,FALSE)</f>
        <v>放款服務課</v>
      </c>
      <c r="AA237" s="283">
        <v>44496</v>
      </c>
      <c r="AB237" s="283" t="s">
        <v>181</v>
      </c>
      <c r="AC237" s="283">
        <v>44496</v>
      </c>
      <c r="AD237" s="283">
        <v>44496</v>
      </c>
      <c r="AE237" s="217" t="s">
        <v>3013</v>
      </c>
      <c r="AF237" s="283" t="s">
        <v>182</v>
      </c>
      <c r="AG237" s="283"/>
      <c r="AH237" s="334"/>
      <c r="AI237" s="283">
        <f>IFERROR(IF(VLOOKUP(功能_33[[#This Row],[功能代號]],E:S,11,FALSE)=0,"",VLOOKUP(功能_33[[#This Row],[功能代號]],E:S,11,FALSE)),"")</f>
        <v>44482</v>
      </c>
      <c r="AJ237" s="283"/>
      <c r="AK237" s="283"/>
      <c r="AL237" s="276"/>
      <c r="AM237" s="283"/>
      <c r="AN237" s="275">
        <v>346</v>
      </c>
      <c r="AO237" s="276" t="s">
        <v>711</v>
      </c>
      <c r="AQ237" s="507" t="str">
        <f t="shared" si="24"/>
        <v>3-3</v>
      </c>
      <c r="AR237" s="509" t="str">
        <f t="shared" si="25"/>
        <v/>
      </c>
      <c r="AS237" s="511" t="str">
        <f t="shared" si="26"/>
        <v/>
      </c>
      <c r="AT237" s="513" t="str">
        <f t="shared" si="27"/>
        <v/>
      </c>
      <c r="AU237" s="515" t="str">
        <f t="shared" si="28"/>
        <v/>
      </c>
      <c r="AV237" s="517" t="str">
        <f t="shared" si="29"/>
        <v/>
      </c>
      <c r="AW237" s="589" t="str">
        <f>IFERROR(VLOOKUP(功能_33[[#This Row],[功能代號]],SIT_FT!D:D,1,FALSE),"")</f>
        <v/>
      </c>
    </row>
    <row r="238" spans="1:49" ht="13.5" x14ac:dyDescent="0.3">
      <c r="B238" s="276">
        <v>1</v>
      </c>
      <c r="C238" s="276" t="s">
        <v>79</v>
      </c>
      <c r="D238" s="337" t="s">
        <v>2502</v>
      </c>
      <c r="E238" s="275" t="s">
        <v>712</v>
      </c>
      <c r="F238" s="276" t="s">
        <v>713</v>
      </c>
      <c r="G238" s="276"/>
      <c r="H238" s="275" t="s">
        <v>179</v>
      </c>
      <c r="I238" s="275" t="s">
        <v>180</v>
      </c>
      <c r="J238" s="218" t="s">
        <v>3012</v>
      </c>
      <c r="K238" s="283">
        <v>44579</v>
      </c>
      <c r="L238" s="275"/>
      <c r="M238" s="283">
        <v>44475</v>
      </c>
      <c r="N238" s="283">
        <v>44482</v>
      </c>
      <c r="O238" s="283">
        <v>44482</v>
      </c>
      <c r="P238" s="275" t="s">
        <v>12</v>
      </c>
      <c r="Q238" s="275" t="s">
        <v>11</v>
      </c>
      <c r="V238" s="275"/>
      <c r="X238" s="275"/>
      <c r="Y238" s="275"/>
      <c r="Z238" s="276" t="str">
        <f>VLOOKUP(功能_33[[#This Row],[User]],SKL放款!A:G,7,FALSE)</f>
        <v>放款服務課</v>
      </c>
      <c r="AA238" s="283">
        <v>44496</v>
      </c>
      <c r="AB238" s="283" t="s">
        <v>181</v>
      </c>
      <c r="AC238" s="283">
        <v>44496</v>
      </c>
      <c r="AD238" s="283">
        <v>44496</v>
      </c>
      <c r="AE238" s="217" t="s">
        <v>3013</v>
      </c>
      <c r="AF238" s="283" t="s">
        <v>182</v>
      </c>
      <c r="AG238" s="283"/>
      <c r="AH238" s="334"/>
      <c r="AI238" s="283">
        <f>IFERROR(IF(VLOOKUP(功能_33[[#This Row],[功能代號]],E:S,11,FALSE)=0,"",VLOOKUP(功能_33[[#This Row],[功能代號]],E:S,11,FALSE)),"")</f>
        <v>44482</v>
      </c>
      <c r="AJ238" s="283"/>
      <c r="AK238" s="283"/>
      <c r="AL238" s="276"/>
      <c r="AM238" s="283"/>
      <c r="AN238" s="275">
        <v>347</v>
      </c>
      <c r="AO238" s="276" t="s">
        <v>714</v>
      </c>
      <c r="AQ238" s="507" t="str">
        <f t="shared" si="24"/>
        <v>3-3</v>
      </c>
      <c r="AR238" s="509" t="str">
        <f t="shared" si="25"/>
        <v/>
      </c>
      <c r="AS238" s="511" t="str">
        <f t="shared" si="26"/>
        <v/>
      </c>
      <c r="AT238" s="513" t="str">
        <f t="shared" si="27"/>
        <v/>
      </c>
      <c r="AU238" s="515" t="str">
        <f t="shared" si="28"/>
        <v/>
      </c>
      <c r="AV238" s="517" t="str">
        <f t="shared" si="29"/>
        <v/>
      </c>
      <c r="AW238" s="589" t="str">
        <f>IFERROR(VLOOKUP(功能_33[[#This Row],[功能代號]],SIT_FT!D:D,1,FALSE),"")</f>
        <v/>
      </c>
    </row>
    <row r="239" spans="1:49" ht="13.5" hidden="1" x14ac:dyDescent="0.3">
      <c r="C239" s="276" t="s">
        <v>78</v>
      </c>
      <c r="D239" s="276" t="s">
        <v>2509</v>
      </c>
      <c r="E239" s="275" t="s">
        <v>715</v>
      </c>
      <c r="F239" s="276" t="s">
        <v>716</v>
      </c>
      <c r="G239" s="276"/>
      <c r="H239" s="275" t="s">
        <v>179</v>
      </c>
      <c r="I239" s="275" t="s">
        <v>189</v>
      </c>
      <c r="J239" s="218" t="s">
        <v>2603</v>
      </c>
      <c r="K239" s="283">
        <v>44558</v>
      </c>
      <c r="L239" s="283">
        <v>44558</v>
      </c>
      <c r="M239" s="283">
        <v>44475</v>
      </c>
      <c r="N239" s="283">
        <v>44475</v>
      </c>
      <c r="O239" s="283">
        <v>44536</v>
      </c>
      <c r="P239" s="275" t="s">
        <v>7</v>
      </c>
      <c r="Q239" s="275" t="s">
        <v>14</v>
      </c>
      <c r="V239" s="275"/>
      <c r="X239" s="275"/>
      <c r="Y239" s="275"/>
      <c r="Z239" s="276" t="str">
        <f>VLOOKUP(功能_33[[#This Row],[User]],SKL放款!A:G,7,FALSE)</f>
        <v>放款管理課</v>
      </c>
      <c r="AA239" s="283">
        <v>44533</v>
      </c>
      <c r="AB239" s="283" t="s">
        <v>181</v>
      </c>
      <c r="AC239" s="283">
        <v>44477</v>
      </c>
      <c r="AD239" s="283">
        <v>44477</v>
      </c>
      <c r="AE239" s="283">
        <v>44539</v>
      </c>
      <c r="AF239" s="283" t="s">
        <v>182</v>
      </c>
      <c r="AG239" s="283"/>
      <c r="AH239" s="334"/>
      <c r="AI239" s="283">
        <f>IFERROR(IF(VLOOKUP(功能_33[[#This Row],[功能代號]],E:S,11,FALSE)=0,"",VLOOKUP(功能_33[[#This Row],[功能代號]],E:S,11,FALSE)),"")</f>
        <v>44536</v>
      </c>
      <c r="AJ239" s="283"/>
      <c r="AK239" s="283"/>
      <c r="AL239" s="276"/>
      <c r="AM239" s="283"/>
      <c r="AN239" s="275">
        <v>226</v>
      </c>
      <c r="AO239" s="276" t="s">
        <v>717</v>
      </c>
      <c r="AQ239" s="507" t="str">
        <f t="shared" si="24"/>
        <v>2-5</v>
      </c>
      <c r="AR239" s="509" t="str">
        <f t="shared" si="25"/>
        <v/>
      </c>
      <c r="AS239" s="511" t="str">
        <f t="shared" si="26"/>
        <v/>
      </c>
      <c r="AT239" s="513" t="str">
        <f t="shared" si="27"/>
        <v/>
      </c>
      <c r="AU239" s="515" t="str">
        <f t="shared" si="28"/>
        <v/>
      </c>
      <c r="AV239" s="517" t="str">
        <f t="shared" si="29"/>
        <v/>
      </c>
      <c r="AW239" s="589" t="str">
        <f>IFERROR(VLOOKUP(功能_33[[#This Row],[功能代號]],SIT_FT!D:D,1,FALSE),"")</f>
        <v>L2603</v>
      </c>
    </row>
    <row r="240" spans="1:49" ht="13.5" hidden="1" x14ac:dyDescent="0.3">
      <c r="C240" s="276" t="s">
        <v>78</v>
      </c>
      <c r="D240" s="276" t="s">
        <v>2509</v>
      </c>
      <c r="E240" s="275" t="s">
        <v>718</v>
      </c>
      <c r="F240" s="276" t="s">
        <v>719</v>
      </c>
      <c r="G240" s="276"/>
      <c r="H240" s="275" t="s">
        <v>179</v>
      </c>
      <c r="I240" s="275" t="s">
        <v>189</v>
      </c>
      <c r="J240" s="218" t="s">
        <v>2603</v>
      </c>
      <c r="K240" s="283">
        <v>44558</v>
      </c>
      <c r="L240" s="283">
        <v>44558</v>
      </c>
      <c r="M240" s="283">
        <v>44482</v>
      </c>
      <c r="N240" s="283">
        <v>44475</v>
      </c>
      <c r="O240" s="283">
        <f>IFERROR(IF(VLOOKUP(功能_33[[#This Row],[功能代號]],討論項目!A:H,8,FALSE)=0,"",VLOOKUP(功能_33[[#This Row],[功能代號]],討論項目!A:H,8,FALSE)),"")</f>
        <v>44475</v>
      </c>
      <c r="P240" s="275" t="s">
        <v>7</v>
      </c>
      <c r="Q240" s="275" t="s">
        <v>14</v>
      </c>
      <c r="V240" s="275"/>
      <c r="X240" s="275"/>
      <c r="Y240" s="275"/>
      <c r="Z240" s="276" t="str">
        <f>VLOOKUP(功能_33[[#This Row],[User]],SKL放款!A:G,7,FALSE)</f>
        <v>放款管理課</v>
      </c>
      <c r="AA240" s="283">
        <v>44533</v>
      </c>
      <c r="AB240" s="283" t="s">
        <v>119</v>
      </c>
      <c r="AC240" s="283">
        <v>44530</v>
      </c>
      <c r="AD240" s="283">
        <v>44530</v>
      </c>
      <c r="AE240" s="283">
        <v>44539</v>
      </c>
      <c r="AF240" s="283"/>
      <c r="AG240" s="283"/>
      <c r="AH240" s="334"/>
      <c r="AI240" s="283">
        <f>IFERROR(IF(VLOOKUP(功能_33[[#This Row],[功能代號]],E:S,11,FALSE)=0,"",VLOOKUP(功能_33[[#This Row],[功能代號]],E:S,11,FALSE)),"")</f>
        <v>44475</v>
      </c>
      <c r="AJ240" s="283"/>
      <c r="AK240" s="283"/>
      <c r="AL240" s="276"/>
      <c r="AM240" s="283"/>
      <c r="AN240" s="275">
        <v>226</v>
      </c>
      <c r="AO240" s="276" t="s">
        <v>720</v>
      </c>
      <c r="AQ240" s="507" t="str">
        <f t="shared" si="24"/>
        <v>2-5</v>
      </c>
      <c r="AR240" s="509" t="str">
        <f t="shared" si="25"/>
        <v/>
      </c>
      <c r="AS240" s="511" t="str">
        <f t="shared" si="26"/>
        <v/>
      </c>
      <c r="AT240" s="513" t="str">
        <f t="shared" si="27"/>
        <v/>
      </c>
      <c r="AU240" s="515" t="str">
        <f t="shared" si="28"/>
        <v/>
      </c>
      <c r="AV240" s="517" t="str">
        <f t="shared" si="29"/>
        <v/>
      </c>
      <c r="AW240" s="589" t="str">
        <f>IFERROR(VLOOKUP(功能_33[[#This Row],[功能代號]],SIT_FT!D:D,1,FALSE),"")</f>
        <v>L2078</v>
      </c>
    </row>
    <row r="241" spans="2:49" ht="13.5" hidden="1" x14ac:dyDescent="0.3">
      <c r="C241" s="276" t="s">
        <v>78</v>
      </c>
      <c r="D241" s="276" t="s">
        <v>2509</v>
      </c>
      <c r="E241" s="275" t="s">
        <v>721</v>
      </c>
      <c r="F241" s="276" t="s">
        <v>722</v>
      </c>
      <c r="G241" s="276"/>
      <c r="H241" s="275" t="s">
        <v>179</v>
      </c>
      <c r="I241" s="275" t="s">
        <v>189</v>
      </c>
      <c r="J241" s="218" t="s">
        <v>2603</v>
      </c>
      <c r="K241" s="283">
        <v>44558</v>
      </c>
      <c r="L241" s="283">
        <v>44558</v>
      </c>
      <c r="M241" s="283">
        <v>44482</v>
      </c>
      <c r="N241" s="283">
        <v>44475</v>
      </c>
      <c r="O241" s="283">
        <v>44536</v>
      </c>
      <c r="P241" s="275" t="s">
        <v>7</v>
      </c>
      <c r="Q241" s="275" t="s">
        <v>14</v>
      </c>
      <c r="V241" s="275"/>
      <c r="X241" s="275"/>
      <c r="Y241" s="275"/>
      <c r="Z241" s="276" t="str">
        <f>VLOOKUP(功能_33[[#This Row],[User]],SKL放款!A:G,7,FALSE)</f>
        <v>放款管理課</v>
      </c>
      <c r="AA241" s="283">
        <v>44533</v>
      </c>
      <c r="AB241" s="283" t="s">
        <v>181</v>
      </c>
      <c r="AC241" s="283">
        <v>44477</v>
      </c>
      <c r="AD241" s="283">
        <v>44477</v>
      </c>
      <c r="AE241" s="283">
        <v>44539</v>
      </c>
      <c r="AF241" s="283" t="s">
        <v>182</v>
      </c>
      <c r="AG241" s="283"/>
      <c r="AH241" s="334"/>
      <c r="AI241" s="283">
        <f>IFERROR(IF(VLOOKUP(功能_33[[#This Row],[功能代號]],E:S,11,FALSE)=0,"",VLOOKUP(功能_33[[#This Row],[功能代號]],E:S,11,FALSE)),"")</f>
        <v>44536</v>
      </c>
      <c r="AJ241" s="283"/>
      <c r="AK241" s="283"/>
      <c r="AL241" s="276"/>
      <c r="AM241" s="283"/>
      <c r="AN241" s="275">
        <v>226</v>
      </c>
      <c r="AO241" s="276" t="s">
        <v>723</v>
      </c>
      <c r="AQ241" s="507" t="str">
        <f t="shared" si="24"/>
        <v>2-5</v>
      </c>
      <c r="AR241" s="509" t="str">
        <f t="shared" si="25"/>
        <v/>
      </c>
      <c r="AS241" s="511" t="str">
        <f t="shared" si="26"/>
        <v/>
      </c>
      <c r="AT241" s="513" t="str">
        <f t="shared" si="27"/>
        <v/>
      </c>
      <c r="AU241" s="515" t="str">
        <f t="shared" si="28"/>
        <v/>
      </c>
      <c r="AV241" s="517" t="str">
        <f t="shared" si="29"/>
        <v/>
      </c>
      <c r="AW241" s="589" t="str">
        <f>IFERROR(VLOOKUP(功能_33[[#This Row],[功能代號]],SIT_FT!D:D,1,FALSE),"")</f>
        <v>L2601</v>
      </c>
    </row>
    <row r="242" spans="2:49" ht="13.5" hidden="1" x14ac:dyDescent="0.3">
      <c r="C242" s="276" t="s">
        <v>78</v>
      </c>
      <c r="D242" s="276" t="s">
        <v>2509</v>
      </c>
      <c r="E242" s="275" t="s">
        <v>724</v>
      </c>
      <c r="F242" s="276" t="s">
        <v>725</v>
      </c>
      <c r="G242" s="276"/>
      <c r="H242" s="275" t="s">
        <v>179</v>
      </c>
      <c r="I242" s="275" t="s">
        <v>189</v>
      </c>
      <c r="J242" s="218" t="s">
        <v>2603</v>
      </c>
      <c r="K242" s="283">
        <v>44558</v>
      </c>
      <c r="L242" s="283">
        <v>44558</v>
      </c>
      <c r="M242" s="283">
        <v>44482</v>
      </c>
      <c r="N242" s="283">
        <v>44475</v>
      </c>
      <c r="O242" s="283">
        <v>44536</v>
      </c>
      <c r="P242" s="275" t="s">
        <v>7</v>
      </c>
      <c r="Q242" s="275" t="s">
        <v>14</v>
      </c>
      <c r="V242" s="275"/>
      <c r="X242" s="275"/>
      <c r="Y242" s="275"/>
      <c r="Z242" s="276" t="str">
        <f>VLOOKUP(功能_33[[#This Row],[User]],SKL放款!A:G,7,FALSE)</f>
        <v>放款管理課</v>
      </c>
      <c r="AA242" s="283">
        <v>44533</v>
      </c>
      <c r="AB242" s="283" t="s">
        <v>181</v>
      </c>
      <c r="AC242" s="283">
        <v>44477</v>
      </c>
      <c r="AD242" s="283">
        <v>44477</v>
      </c>
      <c r="AE242" s="283">
        <v>44539</v>
      </c>
      <c r="AF242" s="283" t="s">
        <v>182</v>
      </c>
      <c r="AG242" s="283"/>
      <c r="AH242" s="334"/>
      <c r="AI242" s="283">
        <f>IFERROR(IF(VLOOKUP(功能_33[[#This Row],[功能代號]],E:S,11,FALSE)=0,"",VLOOKUP(功能_33[[#This Row],[功能代號]],E:S,11,FALSE)),"")</f>
        <v>44536</v>
      </c>
      <c r="AJ242" s="283"/>
      <c r="AK242" s="283"/>
      <c r="AL242" s="276"/>
      <c r="AM242" s="283"/>
      <c r="AN242" s="275">
        <v>226</v>
      </c>
      <c r="AO242" s="276" t="s">
        <v>726</v>
      </c>
      <c r="AQ242" s="507" t="str">
        <f t="shared" si="24"/>
        <v>2-5</v>
      </c>
      <c r="AR242" s="509" t="str">
        <f t="shared" si="25"/>
        <v/>
      </c>
      <c r="AS242" s="511" t="str">
        <f t="shared" si="26"/>
        <v/>
      </c>
      <c r="AT242" s="513" t="str">
        <f t="shared" si="27"/>
        <v/>
      </c>
      <c r="AU242" s="515" t="str">
        <f t="shared" si="28"/>
        <v/>
      </c>
      <c r="AV242" s="517" t="str">
        <f t="shared" si="29"/>
        <v/>
      </c>
      <c r="AW242" s="589" t="str">
        <f>IFERROR(VLOOKUP(功能_33[[#This Row],[功能代號]],SIT_FT!D:D,1,FALSE),"")</f>
        <v>L2602</v>
      </c>
    </row>
    <row r="243" spans="2:49" ht="13.5" hidden="1" x14ac:dyDescent="0.3">
      <c r="C243" s="276" t="s">
        <v>78</v>
      </c>
      <c r="D243" s="276" t="s">
        <v>2509</v>
      </c>
      <c r="E243" s="275" t="s">
        <v>727</v>
      </c>
      <c r="F243" s="276" t="s">
        <v>728</v>
      </c>
      <c r="G243" s="276"/>
      <c r="H243" s="275" t="s">
        <v>179</v>
      </c>
      <c r="I243" s="275" t="s">
        <v>189</v>
      </c>
      <c r="J243" s="218" t="s">
        <v>2603</v>
      </c>
      <c r="K243" s="283">
        <v>44558</v>
      </c>
      <c r="L243" s="283">
        <v>44558</v>
      </c>
      <c r="M243" s="283">
        <v>44482</v>
      </c>
      <c r="N243" s="283">
        <v>44475</v>
      </c>
      <c r="O243" s="283">
        <v>44536</v>
      </c>
      <c r="P243" s="275" t="s">
        <v>7</v>
      </c>
      <c r="Q243" s="275" t="s">
        <v>14</v>
      </c>
      <c r="V243" s="275"/>
      <c r="X243" s="275"/>
      <c r="Y243" s="275"/>
      <c r="Z243" s="276" t="str">
        <f>VLOOKUP(功能_33[[#This Row],[User]],SKL放款!A:G,7,FALSE)</f>
        <v>放款管理課</v>
      </c>
      <c r="AA243" s="283">
        <v>44533</v>
      </c>
      <c r="AB243" s="283" t="s">
        <v>181</v>
      </c>
      <c r="AC243" s="283">
        <v>44477</v>
      </c>
      <c r="AD243" s="283">
        <v>44477</v>
      </c>
      <c r="AE243" s="283">
        <v>44539</v>
      </c>
      <c r="AF243" s="283" t="s">
        <v>182</v>
      </c>
      <c r="AG243" s="283"/>
      <c r="AH243" s="334"/>
      <c r="AI243" s="283">
        <f>IFERROR(IF(VLOOKUP(功能_33[[#This Row],[功能代號]],E:S,11,FALSE)=0,"",VLOOKUP(功能_33[[#This Row],[功能代號]],E:S,11,FALSE)),"")</f>
        <v>44536</v>
      </c>
      <c r="AJ243" s="283"/>
      <c r="AK243" s="283"/>
      <c r="AL243" s="276"/>
      <c r="AM243" s="283"/>
      <c r="AN243" s="275">
        <v>226</v>
      </c>
      <c r="AO243" s="276" t="s">
        <v>729</v>
      </c>
      <c r="AQ243" s="507" t="str">
        <f t="shared" si="24"/>
        <v>2-5</v>
      </c>
      <c r="AR243" s="509" t="str">
        <f t="shared" si="25"/>
        <v/>
      </c>
      <c r="AS243" s="511" t="str">
        <f t="shared" si="26"/>
        <v/>
      </c>
      <c r="AT243" s="513" t="str">
        <f t="shared" si="27"/>
        <v/>
      </c>
      <c r="AU243" s="515" t="str">
        <f t="shared" si="28"/>
        <v/>
      </c>
      <c r="AV243" s="517" t="str">
        <f t="shared" si="29"/>
        <v/>
      </c>
      <c r="AW243" s="589" t="str">
        <f>IFERROR(VLOOKUP(功能_33[[#This Row],[功能代號]],SIT_FT!D:D,1,FALSE),"")</f>
        <v>L2941</v>
      </c>
    </row>
    <row r="244" spans="2:49" ht="13.5" hidden="1" x14ac:dyDescent="0.3">
      <c r="C244" s="276" t="s">
        <v>78</v>
      </c>
      <c r="D244" s="276" t="s">
        <v>2509</v>
      </c>
      <c r="E244" s="275" t="s">
        <v>730</v>
      </c>
      <c r="F244" s="276" t="s">
        <v>731</v>
      </c>
      <c r="G244" s="276"/>
      <c r="H244" s="275" t="s">
        <v>179</v>
      </c>
      <c r="I244" s="275" t="s">
        <v>189</v>
      </c>
      <c r="J244" s="218" t="s">
        <v>2603</v>
      </c>
      <c r="K244" s="283">
        <v>44558</v>
      </c>
      <c r="L244" s="283">
        <v>44558</v>
      </c>
      <c r="M244" s="283">
        <v>44482</v>
      </c>
      <c r="N244" s="283">
        <v>44475</v>
      </c>
      <c r="O244" s="283">
        <v>44536</v>
      </c>
      <c r="P244" s="275" t="s">
        <v>7</v>
      </c>
      <c r="Q244" s="275" t="s">
        <v>14</v>
      </c>
      <c r="V244" s="275"/>
      <c r="X244" s="275"/>
      <c r="Y244" s="275"/>
      <c r="Z244" s="276" t="str">
        <f>VLOOKUP(功能_33[[#This Row],[User]],SKL放款!A:G,7,FALSE)</f>
        <v>放款管理課</v>
      </c>
      <c r="AA244" s="283">
        <v>44533</v>
      </c>
      <c r="AB244" s="283" t="s">
        <v>181</v>
      </c>
      <c r="AC244" s="283">
        <v>44477</v>
      </c>
      <c r="AD244" s="283">
        <v>44477</v>
      </c>
      <c r="AE244" s="283">
        <v>44539</v>
      </c>
      <c r="AF244" s="283" t="s">
        <v>182</v>
      </c>
      <c r="AG244" s="283"/>
      <c r="AH244" s="334"/>
      <c r="AI244" s="283">
        <f>IFERROR(IF(VLOOKUP(功能_33[[#This Row],[功能代號]],E:S,11,FALSE)=0,"",VLOOKUP(功能_33[[#This Row],[功能代號]],E:S,11,FALSE)),"")</f>
        <v>44536</v>
      </c>
      <c r="AJ244" s="283"/>
      <c r="AK244" s="283"/>
      <c r="AL244" s="276"/>
      <c r="AM244" s="283"/>
      <c r="AN244" s="275">
        <v>226</v>
      </c>
      <c r="AO244" s="276" t="s">
        <v>732</v>
      </c>
      <c r="AQ244" s="507" t="str">
        <f t="shared" si="24"/>
        <v>2-5</v>
      </c>
      <c r="AR244" s="509" t="str">
        <f t="shared" si="25"/>
        <v/>
      </c>
      <c r="AS244" s="511" t="str">
        <f t="shared" si="26"/>
        <v/>
      </c>
      <c r="AT244" s="513" t="str">
        <f t="shared" si="27"/>
        <v/>
      </c>
      <c r="AU244" s="515" t="str">
        <f t="shared" si="28"/>
        <v/>
      </c>
      <c r="AV244" s="517" t="str">
        <f t="shared" si="29"/>
        <v/>
      </c>
      <c r="AW244" s="589" t="str">
        <f>IFERROR(VLOOKUP(功能_33[[#This Row],[功能代號]],SIT_FT!D:D,1,FALSE),"")</f>
        <v>L2942</v>
      </c>
    </row>
    <row r="245" spans="2:49" ht="13.5" hidden="1" x14ac:dyDescent="0.3">
      <c r="C245" s="276" t="s">
        <v>78</v>
      </c>
      <c r="D245" s="276" t="s">
        <v>2509</v>
      </c>
      <c r="E245" s="275" t="s">
        <v>733</v>
      </c>
      <c r="F245" s="276" t="s">
        <v>734</v>
      </c>
      <c r="G245" s="276"/>
      <c r="H245" s="275" t="s">
        <v>179</v>
      </c>
      <c r="I245" s="275" t="s">
        <v>189</v>
      </c>
      <c r="J245" s="218" t="s">
        <v>2603</v>
      </c>
      <c r="K245" s="283">
        <v>44558</v>
      </c>
      <c r="L245" s="283">
        <v>44558</v>
      </c>
      <c r="M245" s="283">
        <v>44487</v>
      </c>
      <c r="N245" s="283">
        <v>44475</v>
      </c>
      <c r="O245" s="283">
        <v>44536</v>
      </c>
      <c r="P245" s="275" t="s">
        <v>7</v>
      </c>
      <c r="Q245" s="275" t="s">
        <v>14</v>
      </c>
      <c r="V245" s="275"/>
      <c r="X245" s="275"/>
      <c r="Y245" s="275"/>
      <c r="Z245" s="276" t="str">
        <f>VLOOKUP(功能_33[[#This Row],[User]],SKL放款!A:G,7,FALSE)</f>
        <v>放款管理課</v>
      </c>
      <c r="AA245" s="283">
        <v>44533</v>
      </c>
      <c r="AB245" s="283" t="s">
        <v>181</v>
      </c>
      <c r="AC245" s="283">
        <v>44477</v>
      </c>
      <c r="AD245" s="283">
        <v>44477</v>
      </c>
      <c r="AE245" s="283">
        <v>44539</v>
      </c>
      <c r="AF245" s="283" t="s">
        <v>182</v>
      </c>
      <c r="AG245" s="283"/>
      <c r="AH245" s="334"/>
      <c r="AI245" s="283">
        <f>IFERROR(IF(VLOOKUP(功能_33[[#This Row],[功能代號]],E:S,11,FALSE)=0,"",VLOOKUP(功能_33[[#This Row],[功能代號]],E:S,11,FALSE)),"")</f>
        <v>44536</v>
      </c>
      <c r="AJ245" s="283"/>
      <c r="AK245" s="283"/>
      <c r="AL245" s="276"/>
      <c r="AM245" s="283"/>
      <c r="AN245" s="275">
        <v>226</v>
      </c>
      <c r="AO245" s="276" t="s">
        <v>735</v>
      </c>
      <c r="AQ245" s="507" t="str">
        <f t="shared" si="24"/>
        <v>2-5</v>
      </c>
      <c r="AR245" s="509" t="str">
        <f t="shared" si="25"/>
        <v/>
      </c>
      <c r="AS245" s="511" t="str">
        <f t="shared" si="26"/>
        <v/>
      </c>
      <c r="AT245" s="513" t="str">
        <f t="shared" si="27"/>
        <v/>
      </c>
      <c r="AU245" s="515" t="str">
        <f t="shared" si="28"/>
        <v/>
      </c>
      <c r="AV245" s="517" t="str">
        <f t="shared" si="29"/>
        <v/>
      </c>
      <c r="AW245" s="589" t="str">
        <f>IFERROR(VLOOKUP(功能_33[[#This Row],[功能代號]],SIT_FT!D:D,1,FALSE),"")</f>
        <v>L2605</v>
      </c>
    </row>
    <row r="246" spans="2:49" ht="13.5" hidden="1" x14ac:dyDescent="0.3">
      <c r="C246" s="276" t="s">
        <v>78</v>
      </c>
      <c r="D246" s="276" t="s">
        <v>2509</v>
      </c>
      <c r="E246" s="275" t="s">
        <v>736</v>
      </c>
      <c r="F246" s="276" t="s">
        <v>737</v>
      </c>
      <c r="G246" s="276"/>
      <c r="H246" s="275" t="s">
        <v>179</v>
      </c>
      <c r="I246" s="275" t="s">
        <v>189</v>
      </c>
      <c r="J246" s="218" t="s">
        <v>2603</v>
      </c>
      <c r="K246" s="283">
        <v>44558</v>
      </c>
      <c r="L246" s="283">
        <v>44558</v>
      </c>
      <c r="M246" s="283">
        <v>44487</v>
      </c>
      <c r="N246" s="283">
        <v>44475</v>
      </c>
      <c r="O246" s="283">
        <v>44536</v>
      </c>
      <c r="P246" s="275" t="s">
        <v>7</v>
      </c>
      <c r="Q246" s="275" t="s">
        <v>14</v>
      </c>
      <c r="V246" s="275"/>
      <c r="X246" s="275"/>
      <c r="Y246" s="275"/>
      <c r="Z246" s="276" t="str">
        <f>VLOOKUP(功能_33[[#This Row],[User]],SKL放款!A:G,7,FALSE)</f>
        <v>放款管理課</v>
      </c>
      <c r="AA246" s="283">
        <v>44533</v>
      </c>
      <c r="AB246" s="283" t="s">
        <v>181</v>
      </c>
      <c r="AC246" s="283">
        <v>44477</v>
      </c>
      <c r="AD246" s="283">
        <v>44477</v>
      </c>
      <c r="AE246" s="283">
        <v>44539</v>
      </c>
      <c r="AF246" s="283" t="s">
        <v>182</v>
      </c>
      <c r="AG246" s="283"/>
      <c r="AH246" s="334"/>
      <c r="AI246" s="283">
        <f>IFERROR(IF(VLOOKUP(功能_33[[#This Row],[功能代號]],E:S,11,FALSE)=0,"",VLOOKUP(功能_33[[#This Row],[功能代號]],E:S,11,FALSE)),"")</f>
        <v>44536</v>
      </c>
      <c r="AJ246" s="283"/>
      <c r="AK246" s="283"/>
      <c r="AL246" s="276"/>
      <c r="AM246" s="283"/>
      <c r="AN246" s="275">
        <v>226</v>
      </c>
      <c r="AO246" s="276" t="s">
        <v>738</v>
      </c>
      <c r="AQ246" s="507" t="str">
        <f t="shared" si="24"/>
        <v>2-5</v>
      </c>
      <c r="AR246" s="509" t="str">
        <f t="shared" si="25"/>
        <v/>
      </c>
      <c r="AS246" s="511" t="str">
        <f t="shared" si="26"/>
        <v/>
      </c>
      <c r="AT246" s="513" t="str">
        <f t="shared" si="27"/>
        <v/>
      </c>
      <c r="AU246" s="515" t="str">
        <f t="shared" si="28"/>
        <v/>
      </c>
      <c r="AV246" s="517" t="str">
        <f t="shared" si="29"/>
        <v/>
      </c>
      <c r="AW246" s="589" t="str">
        <f>IFERROR(VLOOKUP(功能_33[[#This Row],[功能代號]],SIT_FT!D:D,1,FALSE),"")</f>
        <v>L2613</v>
      </c>
    </row>
    <row r="247" spans="2:49" ht="13.5" hidden="1" x14ac:dyDescent="0.3">
      <c r="C247" s="276" t="s">
        <v>78</v>
      </c>
      <c r="D247" s="276" t="s">
        <v>2509</v>
      </c>
      <c r="E247" s="275" t="s">
        <v>739</v>
      </c>
      <c r="F247" s="276" t="s">
        <v>740</v>
      </c>
      <c r="G247" s="276"/>
      <c r="H247" s="275" t="s">
        <v>179</v>
      </c>
      <c r="I247" s="275" t="s">
        <v>189</v>
      </c>
      <c r="J247" s="218" t="s">
        <v>2603</v>
      </c>
      <c r="K247" s="283">
        <v>44558</v>
      </c>
      <c r="L247" s="283">
        <v>44558</v>
      </c>
      <c r="M247" s="283">
        <v>44487</v>
      </c>
      <c r="N247" s="283">
        <v>44488</v>
      </c>
      <c r="O247" s="283">
        <v>44536</v>
      </c>
      <c r="P247" s="275" t="s">
        <v>7</v>
      </c>
      <c r="Q247" s="275" t="s">
        <v>24</v>
      </c>
      <c r="R247" s="258" t="s">
        <v>14</v>
      </c>
      <c r="S247" s="276" t="s">
        <v>741</v>
      </c>
      <c r="V247" s="275"/>
      <c r="X247" s="275"/>
      <c r="Y247" s="275"/>
      <c r="Z247" s="276" t="str">
        <f>VLOOKUP(功能_33[[#This Row],[User]],SKL放款!A:G,7,FALSE)</f>
        <v>放款服務課</v>
      </c>
      <c r="AA247" s="283">
        <v>44533</v>
      </c>
      <c r="AB247" s="283" t="s">
        <v>181</v>
      </c>
      <c r="AC247" s="283">
        <v>44477</v>
      </c>
      <c r="AD247" s="283">
        <v>44477</v>
      </c>
      <c r="AE247" s="283">
        <v>44539</v>
      </c>
      <c r="AF247" s="283" t="s">
        <v>182</v>
      </c>
      <c r="AG247" s="217"/>
      <c r="AH247" s="283"/>
      <c r="AI247" s="217">
        <f>IFERROR(IF(VLOOKUP(功能_33[[#This Row],[功能代號]],E:S,11,FALSE)=0,"",VLOOKUP(功能_33[[#This Row],[功能代號]],E:S,11,FALSE)),"")</f>
        <v>44536</v>
      </c>
      <c r="AJ247" s="276">
        <v>180</v>
      </c>
      <c r="AK247" s="276"/>
      <c r="AL247" s="276"/>
      <c r="AN247" s="275">
        <v>226</v>
      </c>
      <c r="AO247" s="276" t="s">
        <v>742</v>
      </c>
      <c r="AQ247" s="507" t="str">
        <f t="shared" si="24"/>
        <v>2-5</v>
      </c>
      <c r="AR247" s="509" t="str">
        <f t="shared" si="25"/>
        <v/>
      </c>
      <c r="AS247" s="511" t="str">
        <f t="shared" si="26"/>
        <v/>
      </c>
      <c r="AT247" s="513" t="str">
        <f t="shared" si="27"/>
        <v/>
      </c>
      <c r="AU247" s="515" t="str">
        <f t="shared" si="28"/>
        <v/>
      </c>
      <c r="AV247" s="517" t="str">
        <f t="shared" si="29"/>
        <v/>
      </c>
      <c r="AW247" s="589" t="str">
        <f>IFERROR(VLOOKUP(功能_33[[#This Row],[功能代號]],SIT_FT!D:D,1,FALSE),"")</f>
        <v>L2614</v>
      </c>
    </row>
    <row r="248" spans="2:49" ht="13.5" hidden="1" x14ac:dyDescent="0.3">
      <c r="C248" s="276" t="s">
        <v>80</v>
      </c>
      <c r="D248" s="276" t="s">
        <v>425</v>
      </c>
      <c r="E248" s="275" t="s">
        <v>743</v>
      </c>
      <c r="F248" s="276" t="s">
        <v>744</v>
      </c>
      <c r="G248" s="276"/>
      <c r="H248" s="275" t="s">
        <v>179</v>
      </c>
      <c r="I248" s="275" t="s">
        <v>2449</v>
      </c>
      <c r="J248" s="218" t="s">
        <v>2606</v>
      </c>
      <c r="K248" s="283">
        <v>44582</v>
      </c>
      <c r="L248" s="275"/>
      <c r="M248" s="283">
        <v>44488</v>
      </c>
      <c r="N248" s="283">
        <v>44488</v>
      </c>
      <c r="O248" s="283">
        <v>44523</v>
      </c>
      <c r="P248" s="275" t="s">
        <v>10</v>
      </c>
      <c r="Q248" s="275" t="s">
        <v>24</v>
      </c>
      <c r="V248" s="275"/>
      <c r="X248" s="275"/>
      <c r="Y248" s="275"/>
      <c r="Z248" s="276" t="str">
        <f>VLOOKUP(功能_33[[#This Row],[User]],SKL放款!A:G,7,FALSE)</f>
        <v>放款服務課</v>
      </c>
      <c r="AA248" s="283">
        <v>44533</v>
      </c>
      <c r="AB248" s="283" t="s">
        <v>119</v>
      </c>
      <c r="AC248" s="283">
        <v>44524</v>
      </c>
      <c r="AD248" s="283">
        <v>44524</v>
      </c>
      <c r="AE248" s="283">
        <v>44539</v>
      </c>
      <c r="AF248" s="283"/>
      <c r="AG248" s="283"/>
      <c r="AH248" s="334"/>
      <c r="AI248" s="283">
        <f>IFERROR(IF(VLOOKUP(功能_33[[#This Row],[功能代號]],E:S,11,FALSE)=0,"",VLOOKUP(功能_33[[#This Row],[功能代號]],E:S,11,FALSE)),"")</f>
        <v>44523</v>
      </c>
      <c r="AJ248" s="283"/>
      <c r="AK248" s="283"/>
      <c r="AL248" s="276"/>
      <c r="AM248" s="283"/>
      <c r="AN248" s="275" t="s">
        <v>2623</v>
      </c>
      <c r="AO248" s="275" t="s">
        <v>2623</v>
      </c>
      <c r="AQ248" s="507" t="str">
        <f t="shared" si="24"/>
        <v>4-6</v>
      </c>
      <c r="AR248" s="509" t="str">
        <f t="shared" si="25"/>
        <v/>
      </c>
      <c r="AS248" s="511" t="str">
        <f t="shared" si="26"/>
        <v/>
      </c>
      <c r="AT248" s="513" t="str">
        <f t="shared" si="27"/>
        <v/>
      </c>
      <c r="AU248" s="515" t="str">
        <f t="shared" si="28"/>
        <v/>
      </c>
      <c r="AV248" s="517" t="str">
        <f t="shared" si="29"/>
        <v/>
      </c>
      <c r="AW248" s="589" t="str">
        <f>IFERROR(VLOOKUP(功能_33[[#This Row],[功能代號]],SIT_FT!D:D,1,FALSE),"")</f>
        <v>L4604</v>
      </c>
    </row>
    <row r="249" spans="2:49" ht="13.5" hidden="1" x14ac:dyDescent="0.3">
      <c r="C249" s="276" t="s">
        <v>80</v>
      </c>
      <c r="D249" s="276" t="s">
        <v>425</v>
      </c>
      <c r="E249" s="275" t="s">
        <v>745</v>
      </c>
      <c r="F249" s="276" t="s">
        <v>746</v>
      </c>
      <c r="G249" s="276"/>
      <c r="H249" s="275" t="s">
        <v>179</v>
      </c>
      <c r="I249" s="275" t="s">
        <v>2449</v>
      </c>
      <c r="J249" s="218" t="s">
        <v>2606</v>
      </c>
      <c r="K249" s="283">
        <v>44582</v>
      </c>
      <c r="L249" s="275"/>
      <c r="M249" s="283">
        <v>44488</v>
      </c>
      <c r="N249" s="283">
        <v>44488</v>
      </c>
      <c r="O249" s="283">
        <v>44523</v>
      </c>
      <c r="P249" s="275" t="s">
        <v>10</v>
      </c>
      <c r="Q249" s="275" t="s">
        <v>24</v>
      </c>
      <c r="V249" s="275"/>
      <c r="X249" s="275"/>
      <c r="Y249" s="275"/>
      <c r="Z249" s="276" t="str">
        <f>VLOOKUP(功能_33[[#This Row],[User]],SKL放款!A:G,7,FALSE)</f>
        <v>放款服務課</v>
      </c>
      <c r="AA249" s="283">
        <v>44533</v>
      </c>
      <c r="AB249" s="283" t="s">
        <v>119</v>
      </c>
      <c r="AC249" s="283">
        <v>44524</v>
      </c>
      <c r="AD249" s="283">
        <v>44524</v>
      </c>
      <c r="AE249" s="283">
        <v>44539</v>
      </c>
      <c r="AF249" s="283"/>
      <c r="AG249" s="283"/>
      <c r="AH249" s="334"/>
      <c r="AI249" s="283">
        <f>IFERROR(IF(VLOOKUP(功能_33[[#This Row],[功能代號]],E:S,11,FALSE)=0,"",VLOOKUP(功能_33[[#This Row],[功能代號]],E:S,11,FALSE)),"")</f>
        <v>44523</v>
      </c>
      <c r="AJ249" s="283"/>
      <c r="AK249" s="283"/>
      <c r="AL249" s="276"/>
      <c r="AM249" s="283"/>
      <c r="AN249" s="275" t="s">
        <v>2622</v>
      </c>
      <c r="AO249" s="276" t="s">
        <v>2621</v>
      </c>
      <c r="AQ249" s="507" t="str">
        <f t="shared" si="24"/>
        <v>4-6</v>
      </c>
      <c r="AR249" s="509" t="str">
        <f t="shared" si="25"/>
        <v/>
      </c>
      <c r="AS249" s="511" t="str">
        <f t="shared" si="26"/>
        <v/>
      </c>
      <c r="AT249" s="513" t="str">
        <f t="shared" si="27"/>
        <v/>
      </c>
      <c r="AU249" s="515" t="str">
        <f t="shared" si="28"/>
        <v/>
      </c>
      <c r="AV249" s="517" t="str">
        <f t="shared" si="29"/>
        <v/>
      </c>
      <c r="AW249" s="589" t="str">
        <f>IFERROR(VLOOKUP(功能_33[[#This Row],[功能代號]],SIT_FT!D:D,1,FALSE),"")</f>
        <v>L4605</v>
      </c>
    </row>
    <row r="250" spans="2:49" ht="40.5" hidden="1" x14ac:dyDescent="0.3">
      <c r="C250" s="276" t="s">
        <v>80</v>
      </c>
      <c r="D250" s="276" t="s">
        <v>425</v>
      </c>
      <c r="E250" s="275" t="s">
        <v>747</v>
      </c>
      <c r="F250" s="276" t="s">
        <v>748</v>
      </c>
      <c r="G250" s="276"/>
      <c r="H250" s="275" t="s">
        <v>179</v>
      </c>
      <c r="I250" s="275" t="s">
        <v>2449</v>
      </c>
      <c r="J250" s="218" t="s">
        <v>2606</v>
      </c>
      <c r="K250" s="283">
        <v>44582</v>
      </c>
      <c r="L250" s="275"/>
      <c r="M250" s="283">
        <v>44488</v>
      </c>
      <c r="N250" s="283">
        <v>44488</v>
      </c>
      <c r="O250" s="283">
        <v>44523</v>
      </c>
      <c r="P250" s="275" t="s">
        <v>10</v>
      </c>
      <c r="Q250" s="275" t="s">
        <v>24</v>
      </c>
      <c r="V250" s="275"/>
      <c r="X250" s="275"/>
      <c r="Y250" s="275"/>
      <c r="Z250" s="276" t="str">
        <f>VLOOKUP(功能_33[[#This Row],[User]],SKL放款!A:G,7,FALSE)</f>
        <v>放款服務課</v>
      </c>
      <c r="AA250" s="283">
        <v>44533</v>
      </c>
      <c r="AB250" s="283" t="s">
        <v>119</v>
      </c>
      <c r="AC250" s="283">
        <v>44524</v>
      </c>
      <c r="AD250" s="283">
        <v>44524</v>
      </c>
      <c r="AE250" s="283">
        <v>44539</v>
      </c>
      <c r="AF250" s="283"/>
      <c r="AG250" s="283"/>
      <c r="AH250" s="334"/>
      <c r="AI250" s="283">
        <f>IFERROR(IF(VLOOKUP(功能_33[[#This Row],[功能代號]],E:S,11,FALSE)=0,"",VLOOKUP(功能_33[[#This Row],[功能代號]],E:S,11,FALSE)),"")</f>
        <v>44523</v>
      </c>
      <c r="AJ250" s="283"/>
      <c r="AK250" s="283"/>
      <c r="AL250" s="276"/>
      <c r="AM250" s="283"/>
      <c r="AN250" s="292" t="s">
        <v>2664</v>
      </c>
      <c r="AO250" s="212" t="s">
        <v>2665</v>
      </c>
      <c r="AQ250" s="507" t="str">
        <f t="shared" si="24"/>
        <v>4-6</v>
      </c>
      <c r="AR250" s="509" t="str">
        <f t="shared" si="25"/>
        <v/>
      </c>
      <c r="AS250" s="511" t="str">
        <f t="shared" si="26"/>
        <v/>
      </c>
      <c r="AT250" s="513" t="str">
        <f t="shared" si="27"/>
        <v/>
      </c>
      <c r="AU250" s="515" t="str">
        <f t="shared" si="28"/>
        <v/>
      </c>
      <c r="AV250" s="517" t="str">
        <f t="shared" si="29"/>
        <v/>
      </c>
      <c r="AW250" s="589" t="str">
        <f>IFERROR(VLOOKUP(功能_33[[#This Row],[功能代號]],SIT_FT!D:D,1,FALSE),"")</f>
        <v>L4606</v>
      </c>
    </row>
    <row r="251" spans="2:49" ht="13.5" hidden="1" x14ac:dyDescent="0.3">
      <c r="C251" s="276" t="s">
        <v>80</v>
      </c>
      <c r="D251" s="276" t="s">
        <v>425</v>
      </c>
      <c r="E251" s="275" t="s">
        <v>749</v>
      </c>
      <c r="F251" s="276" t="s">
        <v>750</v>
      </c>
      <c r="G251" s="276" t="s">
        <v>654</v>
      </c>
      <c r="H251" s="275" t="s">
        <v>179</v>
      </c>
      <c r="I251" s="275" t="s">
        <v>2449</v>
      </c>
      <c r="J251" s="218" t="s">
        <v>2606</v>
      </c>
      <c r="K251" s="283">
        <v>44582</v>
      </c>
      <c r="L251" s="275"/>
      <c r="M251" s="283">
        <v>44488</v>
      </c>
      <c r="N251" s="283">
        <v>44488</v>
      </c>
      <c r="O251" s="283">
        <v>44523</v>
      </c>
      <c r="P251" s="275" t="s">
        <v>10</v>
      </c>
      <c r="Q251" s="275" t="s">
        <v>24</v>
      </c>
      <c r="V251" s="275"/>
      <c r="X251" s="275"/>
      <c r="Y251" s="275"/>
      <c r="Z251" s="276" t="str">
        <f>VLOOKUP(功能_33[[#This Row],[User]],SKL放款!A:G,7,FALSE)</f>
        <v>放款服務課</v>
      </c>
      <c r="AA251" s="283">
        <v>44533</v>
      </c>
      <c r="AB251" s="283" t="s">
        <v>332</v>
      </c>
      <c r="AC251" s="283">
        <v>44524</v>
      </c>
      <c r="AD251" s="283">
        <v>44524</v>
      </c>
      <c r="AE251" s="283">
        <v>44539</v>
      </c>
      <c r="AF251" s="283"/>
      <c r="AG251" s="283"/>
      <c r="AH251" s="334"/>
      <c r="AI251" s="283">
        <f>IFERROR(IF(VLOOKUP(功能_33[[#This Row],[功能代號]],E:S,11,FALSE)=0,"",VLOOKUP(功能_33[[#This Row],[功能代號]],E:S,11,FALSE)),"")</f>
        <v>44523</v>
      </c>
      <c r="AJ251" s="283"/>
      <c r="AK251" s="283"/>
      <c r="AL251" s="276"/>
      <c r="AM251" s="283"/>
      <c r="AN251" s="275" t="s">
        <v>2623</v>
      </c>
      <c r="AO251" s="275" t="s">
        <v>2623</v>
      </c>
      <c r="AQ251" s="507" t="str">
        <f t="shared" si="24"/>
        <v>4-6</v>
      </c>
      <c r="AR251" s="509" t="str">
        <f t="shared" si="25"/>
        <v/>
      </c>
      <c r="AS251" s="511" t="str">
        <f t="shared" si="26"/>
        <v/>
      </c>
      <c r="AT251" s="513" t="str">
        <f t="shared" si="27"/>
        <v/>
      </c>
      <c r="AU251" s="515" t="str">
        <f t="shared" si="28"/>
        <v/>
      </c>
      <c r="AV251" s="517" t="str">
        <f t="shared" si="29"/>
        <v/>
      </c>
      <c r="AW251" s="589" t="str">
        <f>IFERROR(VLOOKUP(功能_33[[#This Row],[功能代號]],SIT_FT!D:D,1,FALSE),"")</f>
        <v>L4607</v>
      </c>
    </row>
    <row r="252" spans="2:49" ht="13.5" hidden="1" x14ac:dyDescent="0.3">
      <c r="C252" s="276" t="s">
        <v>80</v>
      </c>
      <c r="D252" s="276" t="s">
        <v>425</v>
      </c>
      <c r="E252" s="275" t="s">
        <v>751</v>
      </c>
      <c r="F252" s="276" t="s">
        <v>752</v>
      </c>
      <c r="G252" s="276" t="s">
        <v>654</v>
      </c>
      <c r="H252" s="275" t="s">
        <v>179</v>
      </c>
      <c r="I252" s="275" t="s">
        <v>2449</v>
      </c>
      <c r="J252" s="218" t="s">
        <v>2606</v>
      </c>
      <c r="K252" s="283">
        <v>44582</v>
      </c>
      <c r="L252" s="275"/>
      <c r="M252" s="283">
        <v>44488</v>
      </c>
      <c r="N252" s="283">
        <v>44488</v>
      </c>
      <c r="O252" s="283">
        <v>44523</v>
      </c>
      <c r="P252" s="275" t="s">
        <v>10</v>
      </c>
      <c r="Q252" s="275" t="s">
        <v>24</v>
      </c>
      <c r="V252" s="275"/>
      <c r="X252" s="275"/>
      <c r="Y252" s="275"/>
      <c r="Z252" s="276" t="str">
        <f>VLOOKUP(功能_33[[#This Row],[User]],SKL放款!A:G,7,FALSE)</f>
        <v>放款服務課</v>
      </c>
      <c r="AA252" s="283">
        <v>44533</v>
      </c>
      <c r="AB252" s="283">
        <v>44524</v>
      </c>
      <c r="AC252" s="283">
        <v>44524</v>
      </c>
      <c r="AD252" s="283">
        <v>44524</v>
      </c>
      <c r="AE252" s="283">
        <v>44539</v>
      </c>
      <c r="AF252" s="283"/>
      <c r="AG252" s="283"/>
      <c r="AH252" s="334"/>
      <c r="AI252" s="283">
        <f>IFERROR(IF(VLOOKUP(功能_33[[#This Row],[功能代號]],E:S,11,FALSE)=0,"",VLOOKUP(功能_33[[#This Row],[功能代號]],E:S,11,FALSE)),"")</f>
        <v>44523</v>
      </c>
      <c r="AJ252" s="283"/>
      <c r="AK252" s="283"/>
      <c r="AL252" s="276"/>
      <c r="AM252" s="283"/>
      <c r="AN252" s="275" t="s">
        <v>2623</v>
      </c>
      <c r="AO252" s="275" t="s">
        <v>2623</v>
      </c>
      <c r="AQ252" s="507" t="str">
        <f t="shared" si="24"/>
        <v>4-6</v>
      </c>
      <c r="AR252" s="509" t="str">
        <f t="shared" si="25"/>
        <v/>
      </c>
      <c r="AS252" s="511" t="str">
        <f t="shared" si="26"/>
        <v/>
      </c>
      <c r="AT252" s="513" t="str">
        <f t="shared" si="27"/>
        <v/>
      </c>
      <c r="AU252" s="515" t="str">
        <f t="shared" si="28"/>
        <v/>
      </c>
      <c r="AV252" s="517" t="str">
        <f t="shared" si="29"/>
        <v/>
      </c>
      <c r="AW252" s="589" t="str">
        <f>IFERROR(VLOOKUP(功能_33[[#This Row],[功能代號]],SIT_FT!D:D,1,FALSE),"")</f>
        <v>L4966</v>
      </c>
    </row>
    <row r="253" spans="2:49" ht="13.5" hidden="1" x14ac:dyDescent="0.3">
      <c r="C253" s="276" t="s">
        <v>82</v>
      </c>
      <c r="D253" s="276" t="s">
        <v>2504</v>
      </c>
      <c r="E253" s="275" t="s">
        <v>753</v>
      </c>
      <c r="F253" s="276" t="s">
        <v>754</v>
      </c>
      <c r="G253" s="276"/>
      <c r="H253" s="275" t="s">
        <v>179</v>
      </c>
      <c r="I253" s="275" t="s">
        <v>180</v>
      </c>
      <c r="J253" s="218" t="s">
        <v>2875</v>
      </c>
      <c r="K253" s="283">
        <v>44571</v>
      </c>
      <c r="L253" s="275"/>
      <c r="M253" s="283">
        <v>44488</v>
      </c>
      <c r="N253" s="283">
        <v>44491</v>
      </c>
      <c r="O253" s="283">
        <v>44533</v>
      </c>
      <c r="P253" s="275" t="s">
        <v>7</v>
      </c>
      <c r="Q253" s="275" t="s">
        <v>24</v>
      </c>
      <c r="R253" s="258" t="s">
        <v>14</v>
      </c>
      <c r="V253" s="275"/>
      <c r="X253" s="275"/>
      <c r="Y253" s="275"/>
      <c r="Z253" s="276" t="str">
        <f>VLOOKUP(功能_33[[#This Row],[User]],SKL放款!A:G,7,FALSE)</f>
        <v>放款服務課</v>
      </c>
      <c r="AA253" s="283">
        <v>44533</v>
      </c>
      <c r="AB253" s="283" t="s">
        <v>181</v>
      </c>
      <c r="AC253" s="283">
        <v>44531</v>
      </c>
      <c r="AD253" s="283">
        <v>44531</v>
      </c>
      <c r="AE253" s="283">
        <v>44550</v>
      </c>
      <c r="AF253" s="283"/>
      <c r="AG253" s="283"/>
      <c r="AH253" s="334"/>
      <c r="AI253" s="283">
        <f>IFERROR(IF(VLOOKUP(功能_33[[#This Row],[功能代號]],E:S,11,FALSE)=0,"",VLOOKUP(功能_33[[#This Row],[功能代號]],E:S,11,FALSE)),"")</f>
        <v>44533</v>
      </c>
      <c r="AJ253" s="283"/>
      <c r="AK253" s="283"/>
      <c r="AL253" s="276"/>
      <c r="AM253" s="283"/>
      <c r="AN253" s="275" t="s">
        <v>176</v>
      </c>
      <c r="AO253" s="276" t="s">
        <v>176</v>
      </c>
      <c r="AQ253" s="507" t="str">
        <f t="shared" si="24"/>
        <v>6-8</v>
      </c>
      <c r="AR253" s="509" t="str">
        <f t="shared" si="25"/>
        <v/>
      </c>
      <c r="AS253" s="511" t="str">
        <f t="shared" si="26"/>
        <v/>
      </c>
      <c r="AT253" s="513" t="str">
        <f t="shared" si="27"/>
        <v/>
      </c>
      <c r="AU253" s="515" t="str">
        <f t="shared" si="28"/>
        <v/>
      </c>
      <c r="AV253" s="517" t="str">
        <f t="shared" si="29"/>
        <v/>
      </c>
      <c r="AW253" s="589" t="str">
        <f>IFERROR(VLOOKUP(功能_33[[#This Row],[功能代號]],SIT_FT!D:D,1,FALSE),"")</f>
        <v>L6982</v>
      </c>
    </row>
    <row r="254" spans="2:49" ht="13.5" hidden="1" x14ac:dyDescent="0.3">
      <c r="C254" s="276" t="s">
        <v>82</v>
      </c>
      <c r="D254" s="276" t="s">
        <v>2504</v>
      </c>
      <c r="E254" s="275" t="s">
        <v>755</v>
      </c>
      <c r="F254" s="276" t="s">
        <v>756</v>
      </c>
      <c r="G254" s="276"/>
      <c r="H254" s="275" t="s">
        <v>179</v>
      </c>
      <c r="I254" s="275" t="s">
        <v>180</v>
      </c>
      <c r="J254" s="218" t="s">
        <v>2875</v>
      </c>
      <c r="K254" s="283">
        <v>44571</v>
      </c>
      <c r="L254" s="275"/>
      <c r="M254" s="283">
        <v>44488</v>
      </c>
      <c r="N254" s="283">
        <v>44488</v>
      </c>
      <c r="O254" s="283">
        <v>44533</v>
      </c>
      <c r="P254" s="275" t="s">
        <v>7</v>
      </c>
      <c r="Q254" s="275" t="s">
        <v>24</v>
      </c>
      <c r="R254" s="258" t="s">
        <v>14</v>
      </c>
      <c r="V254" s="275"/>
      <c r="X254" s="275"/>
      <c r="Y254" s="275"/>
      <c r="Z254" s="276" t="str">
        <f>VLOOKUP(功能_33[[#This Row],[User]],SKL放款!A:G,7,FALSE)</f>
        <v>放款服務課</v>
      </c>
      <c r="AA254" s="283">
        <v>44533</v>
      </c>
      <c r="AB254" s="283" t="s">
        <v>181</v>
      </c>
      <c r="AC254" s="283">
        <v>44531</v>
      </c>
      <c r="AD254" s="283">
        <v>44531</v>
      </c>
      <c r="AE254" s="283">
        <v>44550</v>
      </c>
      <c r="AF254" s="283"/>
      <c r="AG254" s="283"/>
      <c r="AH254" s="334"/>
      <c r="AI254" s="283">
        <f>IFERROR(IF(VLOOKUP(功能_33[[#This Row],[功能代號]],E:S,11,FALSE)=0,"",VLOOKUP(功能_33[[#This Row],[功能代號]],E:S,11,FALSE)),"")</f>
        <v>44533</v>
      </c>
      <c r="AJ254" s="283"/>
      <c r="AK254" s="283"/>
      <c r="AL254" s="276"/>
      <c r="AM254" s="217" t="s">
        <v>757</v>
      </c>
      <c r="AN254" s="275" t="s">
        <v>176</v>
      </c>
      <c r="AO254" s="276" t="s">
        <v>176</v>
      </c>
      <c r="AQ254" s="507" t="str">
        <f t="shared" si="24"/>
        <v>6-8</v>
      </c>
      <c r="AR254" s="509" t="str">
        <f t="shared" si="25"/>
        <v/>
      </c>
      <c r="AS254" s="511" t="str">
        <f t="shared" si="26"/>
        <v/>
      </c>
      <c r="AT254" s="513" t="str">
        <f t="shared" si="27"/>
        <v/>
      </c>
      <c r="AU254" s="515" t="str">
        <f t="shared" si="28"/>
        <v/>
      </c>
      <c r="AV254" s="517" t="str">
        <f t="shared" si="29"/>
        <v/>
      </c>
      <c r="AW254" s="589" t="str">
        <f>IFERROR(VLOOKUP(功能_33[[#This Row],[功能代號]],SIT_FT!D:D,1,FALSE),"")</f>
        <v>L6983</v>
      </c>
    </row>
    <row r="255" spans="2:49" ht="13.5" hidden="1" x14ac:dyDescent="0.3">
      <c r="B255" s="276">
        <v>1</v>
      </c>
      <c r="C255" s="276" t="s">
        <v>79</v>
      </c>
      <c r="D255" s="337" t="s">
        <v>2503</v>
      </c>
      <c r="E255" s="275" t="s">
        <v>758</v>
      </c>
      <c r="F255" s="276" t="s">
        <v>759</v>
      </c>
      <c r="G255" s="276"/>
      <c r="H255" s="275" t="s">
        <v>179</v>
      </c>
      <c r="I255" s="275" t="s">
        <v>180</v>
      </c>
      <c r="J255" s="218" t="s">
        <v>296</v>
      </c>
      <c r="K255" s="283">
        <v>44579</v>
      </c>
      <c r="L255" s="275"/>
      <c r="M255" s="283">
        <v>44487</v>
      </c>
      <c r="N255" s="283">
        <v>44487</v>
      </c>
      <c r="O255" s="283">
        <v>44487</v>
      </c>
      <c r="P255" s="275" t="s">
        <v>7</v>
      </c>
      <c r="Q255" s="275" t="s">
        <v>24</v>
      </c>
      <c r="R255" s="258" t="s">
        <v>14</v>
      </c>
      <c r="V255" s="275"/>
      <c r="X255" s="275"/>
      <c r="Y255" s="275"/>
      <c r="Z255" s="276" t="str">
        <f>VLOOKUP(功能_33[[#This Row],[User]],SKL放款!A:G,7,FALSE)</f>
        <v>放款服務課</v>
      </c>
      <c r="AA255" s="283">
        <v>44496</v>
      </c>
      <c r="AB255" s="283" t="s">
        <v>181</v>
      </c>
      <c r="AC255" s="283">
        <v>44496</v>
      </c>
      <c r="AD255" s="283">
        <v>44496</v>
      </c>
      <c r="AE255" s="283">
        <v>44512</v>
      </c>
      <c r="AF255" s="283" t="s">
        <v>182</v>
      </c>
      <c r="AG255" s="283"/>
      <c r="AH255" s="334"/>
      <c r="AI255" s="283">
        <f>IFERROR(IF(VLOOKUP(功能_33[[#This Row],[功能代號]],E:S,11,FALSE)=0,"",VLOOKUP(功能_33[[#This Row],[功能代號]],E:S,11,FALSE)),"")</f>
        <v>44487</v>
      </c>
      <c r="AJ255" s="283"/>
      <c r="AK255" s="283"/>
      <c r="AL255" s="276"/>
      <c r="AM255" s="283"/>
      <c r="AN255" s="275">
        <v>366</v>
      </c>
      <c r="AO255" s="276" t="s">
        <v>760</v>
      </c>
      <c r="AQ255" s="507" t="str">
        <f t="shared" si="24"/>
        <v>3-4</v>
      </c>
      <c r="AR255" s="509" t="str">
        <f t="shared" si="25"/>
        <v/>
      </c>
      <c r="AS255" s="511" t="str">
        <f t="shared" si="26"/>
        <v/>
      </c>
      <c r="AT255" s="513" t="str">
        <f t="shared" si="27"/>
        <v/>
      </c>
      <c r="AU255" s="515" t="str">
        <f t="shared" si="28"/>
        <v/>
      </c>
      <c r="AV255" s="517" t="str">
        <f t="shared" si="29"/>
        <v/>
      </c>
      <c r="AW255" s="589" t="str">
        <f>IFERROR(VLOOKUP(功能_33[[#This Row],[功能代號]],SIT_FT!D:D,1,FALSE),"")</f>
        <v>L3440</v>
      </c>
    </row>
    <row r="256" spans="2:49" ht="13.5" hidden="1" x14ac:dyDescent="0.3">
      <c r="C256" s="276" t="s">
        <v>78</v>
      </c>
      <c r="D256" s="276" t="s">
        <v>2510</v>
      </c>
      <c r="E256" s="275" t="s">
        <v>761</v>
      </c>
      <c r="F256" s="276" t="s">
        <v>762</v>
      </c>
      <c r="G256" s="276"/>
      <c r="H256" s="275" t="s">
        <v>179</v>
      </c>
      <c r="I256" s="275" t="s">
        <v>189</v>
      </c>
      <c r="J256" s="218" t="s">
        <v>2981</v>
      </c>
      <c r="K256" s="283">
        <v>44564</v>
      </c>
      <c r="L256" s="283">
        <v>44564</v>
      </c>
      <c r="M256" s="283">
        <v>44487</v>
      </c>
      <c r="N256" s="283">
        <v>44488</v>
      </c>
      <c r="O256" s="283">
        <v>44488</v>
      </c>
      <c r="P256" s="275" t="s">
        <v>12</v>
      </c>
      <c r="Q256" s="275" t="s">
        <v>158</v>
      </c>
      <c r="R256" s="258" t="s">
        <v>18</v>
      </c>
      <c r="V256" s="275"/>
      <c r="X256" s="275"/>
      <c r="Y256" s="275"/>
      <c r="Z256" s="276" t="str">
        <f>VLOOKUP(功能_33[[#This Row],[User]],SKL放款!A:G,7,FALSE)</f>
        <v>放款服務課</v>
      </c>
      <c r="AA256" s="283">
        <v>44524</v>
      </c>
      <c r="AB256" s="283" t="s">
        <v>181</v>
      </c>
      <c r="AC256" s="283">
        <v>44524</v>
      </c>
      <c r="AD256" s="283">
        <v>44524</v>
      </c>
      <c r="AE256" s="283" t="s">
        <v>3002</v>
      </c>
      <c r="AF256" s="283" t="s">
        <v>182</v>
      </c>
      <c r="AG256" s="283"/>
      <c r="AH256" s="334"/>
      <c r="AI256" s="283">
        <f>IFERROR(IF(VLOOKUP(功能_33[[#This Row],[功能代號]],E:S,11,FALSE)=0,"",VLOOKUP(功能_33[[#This Row],[功能代號]],E:S,11,FALSE)),"")</f>
        <v>44488</v>
      </c>
      <c r="AJ256" s="283"/>
      <c r="AK256" s="283"/>
      <c r="AL256" s="276"/>
      <c r="AM256" s="217" t="s">
        <v>757</v>
      </c>
      <c r="AN256" s="275">
        <v>226</v>
      </c>
      <c r="AO256" s="276" t="s">
        <v>763</v>
      </c>
      <c r="AQ256" s="507" t="str">
        <f t="shared" si="24"/>
        <v>2-2</v>
      </c>
      <c r="AR256" s="509" t="str">
        <f t="shared" si="25"/>
        <v/>
      </c>
      <c r="AS256" s="511" t="str">
        <f t="shared" si="26"/>
        <v/>
      </c>
      <c r="AT256" s="513" t="str">
        <f t="shared" si="27"/>
        <v/>
      </c>
      <c r="AU256" s="515" t="str">
        <f t="shared" si="28"/>
        <v/>
      </c>
      <c r="AV256" s="517" t="str">
        <f t="shared" si="29"/>
        <v/>
      </c>
      <c r="AW256" s="589" t="str">
        <f>IFERROR(VLOOKUP(功能_33[[#This Row],[功能代號]],SIT_FT!D:D,1,FALSE),"")</f>
        <v/>
      </c>
    </row>
    <row r="257" spans="1:49" ht="13.5" hidden="1" x14ac:dyDescent="0.3">
      <c r="C257" s="276" t="s">
        <v>82</v>
      </c>
      <c r="D257" s="276" t="s">
        <v>2504</v>
      </c>
      <c r="E257" s="275" t="s">
        <v>764</v>
      </c>
      <c r="F257" s="276" t="s">
        <v>765</v>
      </c>
      <c r="G257" s="276"/>
      <c r="H257" s="275" t="s">
        <v>179</v>
      </c>
      <c r="I257" s="275" t="s">
        <v>180</v>
      </c>
      <c r="J257" s="218" t="s">
        <v>2875</v>
      </c>
      <c r="K257" s="283">
        <v>44571</v>
      </c>
      <c r="L257" s="275"/>
      <c r="M257" s="283">
        <v>44488</v>
      </c>
      <c r="N257" s="283">
        <v>44488</v>
      </c>
      <c r="O257" s="283">
        <v>44533</v>
      </c>
      <c r="P257" s="275" t="s">
        <v>7</v>
      </c>
      <c r="Q257" s="275" t="s">
        <v>24</v>
      </c>
      <c r="R257" s="258" t="s">
        <v>14</v>
      </c>
      <c r="V257" s="275"/>
      <c r="X257" s="275"/>
      <c r="Y257" s="275"/>
      <c r="Z257" s="276" t="str">
        <f>VLOOKUP(功能_33[[#This Row],[User]],SKL放款!A:G,7,FALSE)</f>
        <v>放款服務課</v>
      </c>
      <c r="AA257" s="283">
        <v>44533</v>
      </c>
      <c r="AB257" s="283" t="s">
        <v>181</v>
      </c>
      <c r="AC257" s="283">
        <v>44531</v>
      </c>
      <c r="AD257" s="283">
        <v>44531</v>
      </c>
      <c r="AE257" s="283">
        <v>44550</v>
      </c>
      <c r="AF257" s="283"/>
      <c r="AG257" s="283"/>
      <c r="AH257" s="334"/>
      <c r="AI257" s="283">
        <f>IFERROR(IF(VLOOKUP(功能_33[[#This Row],[功能代號]],E:S,11,FALSE)=0,"",VLOOKUP(功能_33[[#This Row],[功能代號]],E:S,11,FALSE)),"")</f>
        <v>44533</v>
      </c>
      <c r="AJ257" s="283"/>
      <c r="AK257" s="283"/>
      <c r="AL257" s="276"/>
      <c r="AM257" s="217" t="s">
        <v>757</v>
      </c>
      <c r="AN257" s="275" t="s">
        <v>176</v>
      </c>
      <c r="AO257" s="276" t="s">
        <v>176</v>
      </c>
      <c r="AQ257" s="507" t="str">
        <f t="shared" ref="AQ257:AQ321" si="30">IF(COUNTA(AE257)=1,LEFT(D257,3),"")</f>
        <v>6-8</v>
      </c>
      <c r="AR257" s="509" t="str">
        <f t="shared" ref="AR257:AR321" si="31">IF(AND(COUNTA(N257)=1,COUNTA(O257)=1,COUNTA(AA257)=1,COUNTA(AD257)=1,COUNTA(AE257)=0),LEFT(D257,3),"")</f>
        <v/>
      </c>
      <c r="AS257" s="511" t="str">
        <f t="shared" ref="AS257:AS321" si="32">IF(AND(COUNTA(N257)=1,COUNTA(O257)=1,COUNTA(AA257)=1,COUNTA(AD257)=0,COUNTA(AE257)=0),LEFT(D257,3),"")</f>
        <v/>
      </c>
      <c r="AT257" s="513" t="str">
        <f t="shared" ref="AT257:AT321" si="33">IF(AND(COUNTA(O257)=0,COUNTA(AA257)=1),LEFT(D257,3),"")</f>
        <v/>
      </c>
      <c r="AU257" s="515" t="str">
        <f t="shared" ref="AU257:AU321" si="34">IF(AND(COUNTA(O257)=1,COUNTA(AA257)=0),LEFT(D257,3),"")</f>
        <v/>
      </c>
      <c r="AV257" s="517" t="str">
        <f t="shared" ref="AV257:AV321" si="35">IF(AND(COUNTA(O257)=0,COUNTA(AA257)=0),LEFT(D257,3),"")</f>
        <v/>
      </c>
      <c r="AW257" s="589" t="str">
        <f>IFERROR(VLOOKUP(功能_33[[#This Row],[功能代號]],SIT_FT!D:D,1,FALSE),"")</f>
        <v>L6981</v>
      </c>
    </row>
    <row r="258" spans="1:49" ht="13.5" hidden="1" x14ac:dyDescent="0.3">
      <c r="A258" s="561"/>
      <c r="B258" s="374"/>
      <c r="C258" s="276" t="s">
        <v>82</v>
      </c>
      <c r="D258" s="431" t="s">
        <v>2480</v>
      </c>
      <c r="E258" s="275" t="s">
        <v>2825</v>
      </c>
      <c r="F258" s="276" t="s">
        <v>2827</v>
      </c>
      <c r="G258" s="276" t="s">
        <v>2829</v>
      </c>
      <c r="H258" s="275" t="s">
        <v>179</v>
      </c>
      <c r="I258" s="275" t="s">
        <v>300</v>
      </c>
      <c r="J258" s="218" t="s">
        <v>403</v>
      </c>
      <c r="K258" s="283">
        <v>44568</v>
      </c>
      <c r="L258" s="283">
        <v>44567</v>
      </c>
      <c r="M258" s="283">
        <v>44529</v>
      </c>
      <c r="N258" s="283">
        <v>44529</v>
      </c>
      <c r="O258" s="283">
        <v>44538</v>
      </c>
      <c r="P258" s="275" t="s">
        <v>12</v>
      </c>
      <c r="Q258" s="275" t="s">
        <v>158</v>
      </c>
      <c r="S258" s="283">
        <v>44533</v>
      </c>
      <c r="T258" s="283" t="s">
        <v>119</v>
      </c>
      <c r="U258" s="283" t="s">
        <v>2605</v>
      </c>
      <c r="V258" s="283">
        <v>44544</v>
      </c>
      <c r="W258" s="283">
        <v>44544</v>
      </c>
      <c r="X258" s="275" t="s">
        <v>176</v>
      </c>
      <c r="Z258" s="276" t="e">
        <v>#N/A</v>
      </c>
      <c r="AA258" s="283">
        <v>44544</v>
      </c>
      <c r="AB258" s="283" t="s">
        <v>2574</v>
      </c>
      <c r="AC258" s="283" t="s">
        <v>2605</v>
      </c>
      <c r="AD258" s="283">
        <v>44544</v>
      </c>
      <c r="AE258" s="283">
        <v>44544</v>
      </c>
      <c r="AF258" s="269"/>
      <c r="AG258" s="269"/>
      <c r="AH258" s="269"/>
      <c r="AI258" s="269">
        <f>IFERROR(IF(VLOOKUP(功能_33[[#This Row],[功能代號]],E:S,11,FALSE)=0,"",VLOOKUP(功能_33[[#This Row],[功能代號]],E:S,11,FALSE)),"")</f>
        <v>44538</v>
      </c>
      <c r="AJ258" s="269"/>
      <c r="AK258" s="269"/>
      <c r="AL258" s="374"/>
      <c r="AN258" s="275" t="s">
        <v>176</v>
      </c>
      <c r="AO258" s="374"/>
      <c r="AQ258" s="562" t="str">
        <f t="shared" si="30"/>
        <v>6-4</v>
      </c>
      <c r="AR258" s="509" t="str">
        <f t="shared" si="31"/>
        <v/>
      </c>
      <c r="AS258" s="511" t="str">
        <f t="shared" si="32"/>
        <v/>
      </c>
      <c r="AT258" s="513" t="str">
        <f t="shared" si="33"/>
        <v/>
      </c>
      <c r="AU258" s="515" t="str">
        <f t="shared" si="34"/>
        <v/>
      </c>
      <c r="AV258" s="517" t="str">
        <f t="shared" si="35"/>
        <v/>
      </c>
      <c r="AW258" s="589" t="str">
        <f>IFERROR(VLOOKUP(功能_33[[#This Row],[功能代號]],SIT_FT!D:D,1,FALSE),"")</f>
        <v>L6933</v>
      </c>
    </row>
    <row r="259" spans="1:49" ht="13.5" hidden="1" x14ac:dyDescent="0.3">
      <c r="A259" s="561"/>
      <c r="B259" s="374"/>
      <c r="C259" s="276" t="s">
        <v>82</v>
      </c>
      <c r="D259" s="431" t="s">
        <v>2480</v>
      </c>
      <c r="E259" s="275" t="s">
        <v>2826</v>
      </c>
      <c r="F259" s="276" t="s">
        <v>2828</v>
      </c>
      <c r="G259" s="276" t="s">
        <v>2829</v>
      </c>
      <c r="H259" s="275" t="s">
        <v>179</v>
      </c>
      <c r="I259" s="275" t="s">
        <v>300</v>
      </c>
      <c r="J259" s="218" t="s">
        <v>2879</v>
      </c>
      <c r="K259" s="283">
        <v>44568</v>
      </c>
      <c r="L259" s="283">
        <v>44567</v>
      </c>
      <c r="M259" s="283">
        <v>44529</v>
      </c>
      <c r="N259" s="283">
        <v>44529</v>
      </c>
      <c r="O259" s="283">
        <v>44538</v>
      </c>
      <c r="P259" s="275" t="s">
        <v>12</v>
      </c>
      <c r="Q259" s="275" t="s">
        <v>158</v>
      </c>
      <c r="S259" s="283">
        <v>44533</v>
      </c>
      <c r="T259" s="283" t="s">
        <v>119</v>
      </c>
      <c r="U259" s="283" t="s">
        <v>2605</v>
      </c>
      <c r="V259" s="283">
        <v>44544</v>
      </c>
      <c r="W259" s="283">
        <v>44544</v>
      </c>
      <c r="X259" s="275" t="s">
        <v>176</v>
      </c>
      <c r="Z259" s="276" t="e">
        <v>#N/A</v>
      </c>
      <c r="AA259" s="283">
        <v>44544</v>
      </c>
      <c r="AB259" s="283" t="s">
        <v>2574</v>
      </c>
      <c r="AC259" s="283" t="s">
        <v>2605</v>
      </c>
      <c r="AD259" s="283">
        <v>44544</v>
      </c>
      <c r="AE259" s="283">
        <v>44544</v>
      </c>
      <c r="AF259" s="269"/>
      <c r="AG259" s="269"/>
      <c r="AH259" s="269"/>
      <c r="AI259" s="269">
        <f>IFERROR(IF(VLOOKUP(功能_33[[#This Row],[功能代號]],E:S,11,FALSE)=0,"",VLOOKUP(功能_33[[#This Row],[功能代號]],E:S,11,FALSE)),"")</f>
        <v>44538</v>
      </c>
      <c r="AJ259" s="269"/>
      <c r="AK259" s="269"/>
      <c r="AL259" s="374"/>
      <c r="AN259" s="275" t="s">
        <v>176</v>
      </c>
      <c r="AO259" s="374"/>
      <c r="AQ259" s="562" t="str">
        <f t="shared" si="30"/>
        <v>6-4</v>
      </c>
      <c r="AR259" s="509" t="str">
        <f t="shared" si="31"/>
        <v/>
      </c>
      <c r="AS259" s="511" t="str">
        <f t="shared" si="32"/>
        <v/>
      </c>
      <c r="AT259" s="513" t="str">
        <f t="shared" si="33"/>
        <v/>
      </c>
      <c r="AU259" s="515" t="str">
        <f t="shared" si="34"/>
        <v/>
      </c>
      <c r="AV259" s="517" t="str">
        <f t="shared" si="35"/>
        <v/>
      </c>
      <c r="AW259" s="589" t="str">
        <f>IFERROR(VLOOKUP(功能_33[[#This Row],[功能代號]],SIT_FT!D:D,1,FALSE),"")</f>
        <v>L6934</v>
      </c>
    </row>
    <row r="260" spans="1:49" ht="13.5" hidden="1" x14ac:dyDescent="0.3">
      <c r="C260" s="276" t="s">
        <v>82</v>
      </c>
      <c r="D260" s="223" t="s">
        <v>2481</v>
      </c>
      <c r="E260" s="275" t="s">
        <v>606</v>
      </c>
      <c r="F260" s="276" t="s">
        <v>607</v>
      </c>
      <c r="G260" s="276"/>
      <c r="H260" s="275" t="s">
        <v>179</v>
      </c>
      <c r="I260" s="275" t="s">
        <v>300</v>
      </c>
      <c r="J260" s="218" t="s">
        <v>403</v>
      </c>
      <c r="K260" s="283">
        <v>44567</v>
      </c>
      <c r="L260" s="283">
        <v>44567</v>
      </c>
      <c r="M260" s="283">
        <v>44516</v>
      </c>
      <c r="N260" s="283">
        <v>44467</v>
      </c>
      <c r="O260" s="283">
        <v>44472</v>
      </c>
      <c r="P260" s="275" t="s">
        <v>12</v>
      </c>
      <c r="Q260" s="275" t="s">
        <v>158</v>
      </c>
      <c r="V260" s="275"/>
      <c r="X260" s="275"/>
      <c r="Y260" s="275"/>
      <c r="Z260" s="276" t="str">
        <f>VLOOKUP(功能_33[[#This Row],[User]],SKL放款!A:G,7,FALSE)</f>
        <v>放款服務課</v>
      </c>
      <c r="AA260" s="283">
        <v>44472</v>
      </c>
      <c r="AB260" s="283" t="s">
        <v>119</v>
      </c>
      <c r="AC260" s="268">
        <v>44544</v>
      </c>
      <c r="AD260" s="268">
        <v>44544</v>
      </c>
      <c r="AE260" s="283">
        <v>44544</v>
      </c>
      <c r="AF260" s="283"/>
      <c r="AG260" s="283"/>
      <c r="AH260" s="334"/>
      <c r="AI260" s="283">
        <f>IFERROR(IF(VLOOKUP(功能_33[[#This Row],[功能代號]],E:S,11,FALSE)=0,"",VLOOKUP(功能_33[[#This Row],[功能代號]],E:S,11,FALSE)),"")</f>
        <v>44472</v>
      </c>
      <c r="AJ260" s="283"/>
      <c r="AK260" s="283"/>
      <c r="AL260" s="276"/>
      <c r="AM260" s="283"/>
      <c r="AN260" s="275" t="s">
        <v>176</v>
      </c>
      <c r="AO260" s="288"/>
      <c r="AQ260" s="507" t="str">
        <f t="shared" si="30"/>
        <v>6-5</v>
      </c>
      <c r="AR260" s="509" t="str">
        <f t="shared" si="31"/>
        <v/>
      </c>
      <c r="AS260" s="511" t="str">
        <f t="shared" si="32"/>
        <v/>
      </c>
      <c r="AT260" s="513" t="str">
        <f t="shared" si="33"/>
        <v/>
      </c>
      <c r="AU260" s="515" t="str">
        <f t="shared" si="34"/>
        <v/>
      </c>
      <c r="AV260" s="517" t="str">
        <f t="shared" si="35"/>
        <v/>
      </c>
      <c r="AW260" s="589" t="str">
        <f>IFERROR(VLOOKUP(功能_33[[#This Row],[功能代號]],SIT_FT!D:D,1,FALSE),"")</f>
        <v>L6052</v>
      </c>
    </row>
    <row r="261" spans="1:49" ht="13.5" hidden="1" x14ac:dyDescent="0.3">
      <c r="C261" s="276" t="s">
        <v>82</v>
      </c>
      <c r="D261" s="223" t="s">
        <v>2481</v>
      </c>
      <c r="E261" s="275" t="s">
        <v>608</v>
      </c>
      <c r="F261" s="276" t="s">
        <v>609</v>
      </c>
      <c r="G261" s="276"/>
      <c r="H261" s="275" t="s">
        <v>179</v>
      </c>
      <c r="I261" s="275" t="s">
        <v>300</v>
      </c>
      <c r="J261" s="218" t="s">
        <v>403</v>
      </c>
      <c r="K261" s="283">
        <v>44567</v>
      </c>
      <c r="L261" s="283">
        <v>44567</v>
      </c>
      <c r="M261" s="283">
        <v>44516</v>
      </c>
      <c r="N261" s="283">
        <v>44467</v>
      </c>
      <c r="O261" s="283">
        <v>44472</v>
      </c>
      <c r="P261" s="275" t="s">
        <v>12</v>
      </c>
      <c r="Q261" s="275" t="s">
        <v>158</v>
      </c>
      <c r="V261" s="275"/>
      <c r="X261" s="275"/>
      <c r="Y261" s="275"/>
      <c r="Z261" s="276" t="str">
        <f>VLOOKUP(功能_33[[#This Row],[User]],SKL放款!A:G,7,FALSE)</f>
        <v>放款服務課</v>
      </c>
      <c r="AA261" s="283">
        <v>44472</v>
      </c>
      <c r="AB261" s="283" t="s">
        <v>119</v>
      </c>
      <c r="AC261" s="268">
        <v>44544</v>
      </c>
      <c r="AD261" s="268">
        <v>44544</v>
      </c>
      <c r="AE261" s="283">
        <v>44544</v>
      </c>
      <c r="AF261" s="283"/>
      <c r="AG261" s="283"/>
      <c r="AH261" s="334"/>
      <c r="AI261" s="283">
        <f>IFERROR(IF(VLOOKUP(功能_33[[#This Row],[功能代號]],E:S,11,FALSE)=0,"",VLOOKUP(功能_33[[#This Row],[功能代號]],E:S,11,FALSE)),"")</f>
        <v>44472</v>
      </c>
      <c r="AJ261" s="283"/>
      <c r="AK261" s="283"/>
      <c r="AL261" s="276"/>
      <c r="AM261" s="283"/>
      <c r="AN261" s="275" t="s">
        <v>176</v>
      </c>
      <c r="AQ261" s="507" t="str">
        <f t="shared" si="30"/>
        <v>6-5</v>
      </c>
      <c r="AR261" s="509" t="str">
        <f t="shared" si="31"/>
        <v/>
      </c>
      <c r="AS261" s="511" t="str">
        <f t="shared" si="32"/>
        <v/>
      </c>
      <c r="AT261" s="513" t="str">
        <f t="shared" si="33"/>
        <v/>
      </c>
      <c r="AU261" s="515" t="str">
        <f t="shared" si="34"/>
        <v/>
      </c>
      <c r="AV261" s="517" t="str">
        <f t="shared" si="35"/>
        <v/>
      </c>
      <c r="AW261" s="589" t="str">
        <f>IFERROR(VLOOKUP(功能_33[[#This Row],[功能代號]],SIT_FT!D:D,1,FALSE),"")</f>
        <v>L6502</v>
      </c>
    </row>
    <row r="262" spans="1:49" ht="13.5" hidden="1" x14ac:dyDescent="0.3">
      <c r="C262" s="276" t="s">
        <v>82</v>
      </c>
      <c r="D262" s="431" t="s">
        <v>2481</v>
      </c>
      <c r="E262" s="275" t="s">
        <v>1039</v>
      </c>
      <c r="F262" s="276" t="s">
        <v>1040</v>
      </c>
      <c r="G262" s="276"/>
      <c r="H262" s="275" t="s">
        <v>179</v>
      </c>
      <c r="I262" s="275" t="s">
        <v>300</v>
      </c>
      <c r="J262" s="218" t="s">
        <v>403</v>
      </c>
      <c r="K262" s="283">
        <v>44565</v>
      </c>
      <c r="L262" s="283">
        <v>44565</v>
      </c>
      <c r="M262" s="283">
        <v>44397</v>
      </c>
      <c r="N262" s="283">
        <v>44397</v>
      </c>
      <c r="O262" s="283">
        <v>44537</v>
      </c>
      <c r="P262" s="275" t="s">
        <v>12</v>
      </c>
      <c r="Q262" s="275" t="s">
        <v>158</v>
      </c>
      <c r="V262" s="275"/>
      <c r="X262" s="275"/>
      <c r="Y262" s="275"/>
      <c r="Z262" s="276" t="str">
        <f>VLOOKUP(功能_33[[#This Row],[User]],SKL放款!A:G,7,FALSE)</f>
        <v>放款服務課</v>
      </c>
      <c r="AA262" s="283">
        <v>44537</v>
      </c>
      <c r="AB262" s="283" t="s">
        <v>119</v>
      </c>
      <c r="AC262" s="268">
        <v>44544</v>
      </c>
      <c r="AD262" s="268">
        <v>44544</v>
      </c>
      <c r="AE262" s="283">
        <v>44544</v>
      </c>
      <c r="AF262" s="283"/>
      <c r="AG262" s="283"/>
      <c r="AH262" s="334"/>
      <c r="AI262" s="283">
        <f>IFERROR(IF(VLOOKUP(功能_33[[#This Row],[功能代號]],E:S,11,FALSE)=0,"",VLOOKUP(功能_33[[#This Row],[功能代號]],E:S,11,FALSE)),"")</f>
        <v>44537</v>
      </c>
      <c r="AJ262" s="283"/>
      <c r="AK262" s="283"/>
      <c r="AL262" s="276"/>
      <c r="AM262" s="283">
        <v>44397</v>
      </c>
      <c r="AN262" s="275" t="s">
        <v>176</v>
      </c>
      <c r="AQ262" s="507" t="str">
        <f t="shared" si="30"/>
        <v>6-5</v>
      </c>
      <c r="AR262" s="509" t="str">
        <f t="shared" si="31"/>
        <v/>
      </c>
      <c r="AS262" s="511" t="str">
        <f t="shared" si="32"/>
        <v/>
      </c>
      <c r="AT262" s="513" t="str">
        <f t="shared" si="33"/>
        <v/>
      </c>
      <c r="AU262" s="515" t="str">
        <f t="shared" si="34"/>
        <v/>
      </c>
      <c r="AV262" s="517" t="str">
        <f t="shared" si="35"/>
        <v/>
      </c>
      <c r="AW262" s="589" t="str">
        <f>IFERROR(VLOOKUP(功能_33[[#This Row],[功能代號]],SIT_FT!D:D,1,FALSE),"")</f>
        <v>L6501</v>
      </c>
    </row>
    <row r="263" spans="1:49" ht="13.5" hidden="1" x14ac:dyDescent="0.3">
      <c r="C263" s="276" t="s">
        <v>82</v>
      </c>
      <c r="D263" s="276" t="s">
        <v>2482</v>
      </c>
      <c r="E263" s="275" t="s">
        <v>536</v>
      </c>
      <c r="F263" s="276" t="s">
        <v>537</v>
      </c>
      <c r="G263" s="276"/>
      <c r="H263" s="275" t="s">
        <v>179</v>
      </c>
      <c r="I263" s="275" t="s">
        <v>300</v>
      </c>
      <c r="J263" s="218" t="s">
        <v>2875</v>
      </c>
      <c r="K263" s="283">
        <v>44565</v>
      </c>
      <c r="L263" s="283">
        <v>44565</v>
      </c>
      <c r="M263" s="283">
        <v>44515</v>
      </c>
      <c r="N263" s="283">
        <v>44466</v>
      </c>
      <c r="O263" s="283">
        <v>44466</v>
      </c>
      <c r="P263" s="275" t="s">
        <v>12</v>
      </c>
      <c r="Q263" s="275" t="s">
        <v>11</v>
      </c>
      <c r="V263" s="275"/>
      <c r="X263" s="275"/>
      <c r="Y263" s="275"/>
      <c r="Z263" s="276" t="str">
        <f>VLOOKUP(功能_33[[#This Row],[User]],SKL放款!A:G,7,FALSE)</f>
        <v>放款服務課</v>
      </c>
      <c r="AA263" s="283">
        <v>44533</v>
      </c>
      <c r="AB263" s="283" t="s">
        <v>181</v>
      </c>
      <c r="AC263" s="283">
        <v>44529</v>
      </c>
      <c r="AD263" s="283">
        <v>44529</v>
      </c>
      <c r="AE263" s="283">
        <v>44550</v>
      </c>
      <c r="AF263" s="283"/>
      <c r="AG263" s="283"/>
      <c r="AH263" s="334"/>
      <c r="AI263" s="283">
        <f>IFERROR(IF(VLOOKUP(功能_33[[#This Row],[功能代號]],E:S,11,FALSE)=0,"",VLOOKUP(功能_33[[#This Row],[功能代號]],E:S,11,FALSE)),"")</f>
        <v>44466</v>
      </c>
      <c r="AJ263" s="283"/>
      <c r="AK263" s="283"/>
      <c r="AL263" s="276"/>
      <c r="AM263" s="283"/>
      <c r="AN263" s="287" t="s">
        <v>538</v>
      </c>
      <c r="AO263" s="288" t="s">
        <v>539</v>
      </c>
      <c r="AQ263" s="507" t="str">
        <f t="shared" si="30"/>
        <v>6-6</v>
      </c>
      <c r="AR263" s="509" t="str">
        <f t="shared" si="31"/>
        <v/>
      </c>
      <c r="AS263" s="511" t="str">
        <f t="shared" si="32"/>
        <v/>
      </c>
      <c r="AT263" s="513" t="str">
        <f t="shared" si="33"/>
        <v/>
      </c>
      <c r="AU263" s="515" t="str">
        <f t="shared" si="34"/>
        <v/>
      </c>
      <c r="AV263" s="517" t="str">
        <f t="shared" si="35"/>
        <v/>
      </c>
      <c r="AW263" s="589" t="str">
        <f>IFERROR(VLOOKUP(功能_33[[#This Row],[功能代號]],SIT_FT!D:D,1,FALSE),"")</f>
        <v>L6061</v>
      </c>
    </row>
    <row r="264" spans="1:49" ht="13.5" hidden="1" x14ac:dyDescent="0.3">
      <c r="C264" s="276" t="s">
        <v>82</v>
      </c>
      <c r="D264" s="276" t="s">
        <v>2482</v>
      </c>
      <c r="E264" s="275" t="s">
        <v>569</v>
      </c>
      <c r="F264" s="276" t="s">
        <v>570</v>
      </c>
      <c r="G264" s="276"/>
      <c r="H264" s="275" t="s">
        <v>179</v>
      </c>
      <c r="I264" s="275" t="s">
        <v>300</v>
      </c>
      <c r="J264" s="218" t="s">
        <v>2875</v>
      </c>
      <c r="K264" s="283">
        <v>44565</v>
      </c>
      <c r="L264" s="283">
        <v>44565</v>
      </c>
      <c r="M264" s="283">
        <v>44516</v>
      </c>
      <c r="N264" s="283">
        <v>44467</v>
      </c>
      <c r="O264" s="283">
        <v>44467</v>
      </c>
      <c r="P264" s="275" t="s">
        <v>12</v>
      </c>
      <c r="Q264" s="275" t="s">
        <v>553</v>
      </c>
      <c r="V264" s="275"/>
      <c r="X264" s="275"/>
      <c r="Y264" s="275"/>
      <c r="Z264" s="276" t="str">
        <f>VLOOKUP(功能_33[[#This Row],[User]],SKL放款!A:G,7,FALSE)</f>
        <v>放款審查課</v>
      </c>
      <c r="AA264" s="283">
        <v>44533</v>
      </c>
      <c r="AB264" s="283" t="s">
        <v>181</v>
      </c>
      <c r="AC264" s="283">
        <v>44467</v>
      </c>
      <c r="AD264" s="283">
        <v>44467</v>
      </c>
      <c r="AE264" s="283">
        <v>44550</v>
      </c>
      <c r="AF264" s="283"/>
      <c r="AG264" s="283"/>
      <c r="AH264" s="334"/>
      <c r="AI264" s="283">
        <f>IFERROR(IF(VLOOKUP(功能_33[[#This Row],[功能代號]],E:S,11,FALSE)=0,"",VLOOKUP(功能_33[[#This Row],[功能代號]],E:S,11,FALSE)),"")</f>
        <v>44467</v>
      </c>
      <c r="AJ264" s="283"/>
      <c r="AK264" s="283"/>
      <c r="AL264" s="276"/>
      <c r="AM264" s="283"/>
      <c r="AN264" s="287" t="s">
        <v>571</v>
      </c>
      <c r="AO264" s="288" t="s">
        <v>572</v>
      </c>
      <c r="AQ264" s="507" t="str">
        <f t="shared" si="30"/>
        <v>6-6</v>
      </c>
      <c r="AR264" s="509" t="str">
        <f t="shared" si="31"/>
        <v/>
      </c>
      <c r="AS264" s="511" t="str">
        <f t="shared" si="32"/>
        <v/>
      </c>
      <c r="AT264" s="513" t="str">
        <f t="shared" si="33"/>
        <v/>
      </c>
      <c r="AU264" s="515" t="str">
        <f t="shared" si="34"/>
        <v/>
      </c>
      <c r="AV264" s="517" t="str">
        <f t="shared" si="35"/>
        <v/>
      </c>
      <c r="AW264" s="589" t="str">
        <f>IFERROR(VLOOKUP(功能_33[[#This Row],[功能代號]],SIT_FT!D:D,1,FALSE),"")</f>
        <v>L6062</v>
      </c>
    </row>
    <row r="265" spans="1:49" ht="13.5" hidden="1" x14ac:dyDescent="0.3">
      <c r="C265" s="276" t="s">
        <v>82</v>
      </c>
      <c r="D265" s="276" t="s">
        <v>2482</v>
      </c>
      <c r="E265" s="275" t="s">
        <v>551</v>
      </c>
      <c r="F265" s="276" t="s">
        <v>552</v>
      </c>
      <c r="G265" s="276"/>
      <c r="H265" s="275" t="s">
        <v>179</v>
      </c>
      <c r="I265" s="275" t="s">
        <v>300</v>
      </c>
      <c r="J265" s="218" t="s">
        <v>2875</v>
      </c>
      <c r="K265" s="283">
        <v>44565</v>
      </c>
      <c r="L265" s="283">
        <v>44565</v>
      </c>
      <c r="M265" s="283">
        <v>44467</v>
      </c>
      <c r="N265" s="283">
        <v>44467</v>
      </c>
      <c r="O265" s="283">
        <v>44467</v>
      </c>
      <c r="P265" s="275" t="s">
        <v>12</v>
      </c>
      <c r="Q265" s="275" t="s">
        <v>553</v>
      </c>
      <c r="V265" s="275"/>
      <c r="X265" s="275"/>
      <c r="Y265" s="275"/>
      <c r="Z265" s="276" t="str">
        <f>VLOOKUP(功能_33[[#This Row],[User]],SKL放款!A:G,7,FALSE)</f>
        <v>放款審查課</v>
      </c>
      <c r="AA265" s="283">
        <v>44533</v>
      </c>
      <c r="AB265" s="283" t="s">
        <v>181</v>
      </c>
      <c r="AC265" s="283">
        <v>44467</v>
      </c>
      <c r="AD265" s="283">
        <v>44467</v>
      </c>
      <c r="AE265" s="283">
        <v>44550</v>
      </c>
      <c r="AF265" s="283"/>
      <c r="AG265" s="283"/>
      <c r="AH265" s="334"/>
      <c r="AI265" s="283">
        <f>IFERROR(IF(VLOOKUP(功能_33[[#This Row],[功能代號]],E:S,11,FALSE)=0,"",VLOOKUP(功能_33[[#This Row],[功能代號]],E:S,11,FALSE)),"")</f>
        <v>44467</v>
      </c>
      <c r="AJ265" s="283"/>
      <c r="AK265" s="283"/>
      <c r="AL265" s="276"/>
      <c r="AM265" s="283"/>
      <c r="AN265" s="287" t="s">
        <v>554</v>
      </c>
      <c r="AO265" s="288" t="s">
        <v>555</v>
      </c>
      <c r="AQ265" s="507" t="str">
        <f t="shared" si="30"/>
        <v>6-6</v>
      </c>
      <c r="AR265" s="509" t="str">
        <f t="shared" si="31"/>
        <v/>
      </c>
      <c r="AS265" s="511" t="str">
        <f t="shared" si="32"/>
        <v/>
      </c>
      <c r="AT265" s="513" t="str">
        <f t="shared" si="33"/>
        <v/>
      </c>
      <c r="AU265" s="515" t="str">
        <f t="shared" si="34"/>
        <v/>
      </c>
      <c r="AV265" s="517" t="str">
        <f t="shared" si="35"/>
        <v/>
      </c>
      <c r="AW265" s="589" t="str">
        <f>IFERROR(VLOOKUP(功能_33[[#This Row],[功能代號]],SIT_FT!D:D,1,FALSE),"")</f>
        <v>L6063</v>
      </c>
    </row>
    <row r="266" spans="1:49" ht="13.5" hidden="1" x14ac:dyDescent="0.3">
      <c r="C266" s="276" t="s">
        <v>82</v>
      </c>
      <c r="D266" s="276" t="s">
        <v>2482</v>
      </c>
      <c r="E266" s="275" t="s">
        <v>532</v>
      </c>
      <c r="F266" s="276" t="s">
        <v>533</v>
      </c>
      <c r="G266" s="276"/>
      <c r="H266" s="275" t="s">
        <v>179</v>
      </c>
      <c r="I266" s="275" t="s">
        <v>300</v>
      </c>
      <c r="J266" s="218" t="s">
        <v>2875</v>
      </c>
      <c r="K266" s="283">
        <v>44565</v>
      </c>
      <c r="L266" s="283">
        <v>44565</v>
      </c>
      <c r="M266" s="283">
        <v>44515</v>
      </c>
      <c r="N266" s="283">
        <v>44466</v>
      </c>
      <c r="O266" s="283">
        <v>44472</v>
      </c>
      <c r="P266" s="275" t="s">
        <v>8</v>
      </c>
      <c r="Q266" s="275" t="s">
        <v>158</v>
      </c>
      <c r="V266" s="275"/>
      <c r="X266" s="275"/>
      <c r="Y266" s="275"/>
      <c r="Z266" s="276" t="str">
        <f>VLOOKUP(功能_33[[#This Row],[User]],SKL放款!A:G,7,FALSE)</f>
        <v>放款服務課</v>
      </c>
      <c r="AA266" s="283">
        <v>44472</v>
      </c>
      <c r="AB266" s="283" t="s">
        <v>119</v>
      </c>
      <c r="AC266" s="268">
        <v>44544</v>
      </c>
      <c r="AD266" s="268">
        <v>44544</v>
      </c>
      <c r="AE266" s="283">
        <v>44550</v>
      </c>
      <c r="AF266" s="283"/>
      <c r="AG266" s="283"/>
      <c r="AH266" s="334"/>
      <c r="AI266" s="283">
        <f>IFERROR(IF(VLOOKUP(功能_33[[#This Row],[功能代號]],E:S,11,FALSE)=0,"",VLOOKUP(功能_33[[#This Row],[功能代號]],E:S,11,FALSE)),"")</f>
        <v>44472</v>
      </c>
      <c r="AJ266" s="283"/>
      <c r="AK266" s="283"/>
      <c r="AL266" s="276"/>
      <c r="AM266" s="283"/>
      <c r="AN266" s="275" t="s">
        <v>176</v>
      </c>
      <c r="AQ266" s="507" t="str">
        <f t="shared" si="30"/>
        <v>6-6</v>
      </c>
      <c r="AR266" s="509" t="str">
        <f t="shared" si="31"/>
        <v/>
      </c>
      <c r="AS266" s="511" t="str">
        <f t="shared" si="32"/>
        <v/>
      </c>
      <c r="AT266" s="513" t="str">
        <f t="shared" si="33"/>
        <v/>
      </c>
      <c r="AU266" s="515" t="str">
        <f t="shared" si="34"/>
        <v/>
      </c>
      <c r="AV266" s="517" t="str">
        <f t="shared" si="35"/>
        <v/>
      </c>
      <c r="AW266" s="589" t="str">
        <f>IFERROR(VLOOKUP(功能_33[[#This Row],[功能代號]],SIT_FT!D:D,1,FALSE),"")</f>
        <v>L6064</v>
      </c>
    </row>
    <row r="267" spans="1:49" ht="13.5" hidden="1" x14ac:dyDescent="0.3">
      <c r="C267" s="276" t="s">
        <v>82</v>
      </c>
      <c r="D267" s="276" t="s">
        <v>2482</v>
      </c>
      <c r="E267" s="275" t="s">
        <v>2998</v>
      </c>
      <c r="F267" s="276" t="s">
        <v>2999</v>
      </c>
      <c r="G267" s="276"/>
      <c r="H267" s="275" t="s">
        <v>179</v>
      </c>
      <c r="I267" s="275" t="s">
        <v>300</v>
      </c>
      <c r="J267" s="218" t="s">
        <v>2977</v>
      </c>
      <c r="K267" s="283">
        <v>44565</v>
      </c>
      <c r="L267" s="283">
        <v>44565</v>
      </c>
      <c r="M267" s="283">
        <v>44515</v>
      </c>
      <c r="N267" s="283">
        <v>44466</v>
      </c>
      <c r="O267" s="283">
        <v>44472</v>
      </c>
      <c r="P267" s="275" t="s">
        <v>8</v>
      </c>
      <c r="Q267" s="275" t="s">
        <v>158</v>
      </c>
      <c r="V267" s="275"/>
      <c r="X267" s="275"/>
      <c r="Y267" s="275"/>
      <c r="Z267" s="276" t="str">
        <f>VLOOKUP(功能_33[[#This Row],[User]],SKL放款!A:G,7,FALSE)</f>
        <v>放款服務課</v>
      </c>
      <c r="AA267" s="283">
        <v>44472</v>
      </c>
      <c r="AB267" s="283" t="s">
        <v>119</v>
      </c>
      <c r="AC267" s="268">
        <v>44544</v>
      </c>
      <c r="AD267" s="268">
        <v>44544</v>
      </c>
      <c r="AE267" s="283">
        <v>44568</v>
      </c>
      <c r="AF267" s="283"/>
      <c r="AG267" s="283"/>
      <c r="AH267" s="334"/>
      <c r="AI267" s="283">
        <f>IFERROR(IF(VLOOKUP(功能_33[[#This Row],[功能代號]],E:S,11,FALSE)=0,"",VLOOKUP(功能_33[[#This Row],[功能代號]],E:S,11,FALSE)),"")</f>
        <v>44472</v>
      </c>
      <c r="AJ267" s="283"/>
      <c r="AK267" s="283"/>
      <c r="AL267" s="276"/>
      <c r="AM267" s="283"/>
      <c r="AN267" s="275" t="s">
        <v>176</v>
      </c>
      <c r="AO267" s="220" t="s">
        <v>2623</v>
      </c>
      <c r="AQ267" s="507" t="str">
        <f t="shared" ref="AQ267" si="36">IF(COUNTA(AE267)=1,LEFT(D267,3),"")</f>
        <v>6-6</v>
      </c>
      <c r="AR267" s="509" t="str">
        <f t="shared" ref="AR267" si="37">IF(AND(COUNTA(N267)=1,COUNTA(O267)=1,COUNTA(AA267)=1,COUNTA(AD267)=1,COUNTA(AE267)=0),LEFT(D267,3),"")</f>
        <v/>
      </c>
      <c r="AS267" s="511" t="str">
        <f t="shared" ref="AS267" si="38">IF(AND(COUNTA(N267)=1,COUNTA(O267)=1,COUNTA(AA267)=1,COUNTA(AD267)=0,COUNTA(AE267)=0),LEFT(D267,3),"")</f>
        <v/>
      </c>
      <c r="AT267" s="513" t="str">
        <f t="shared" ref="AT267" si="39">IF(AND(COUNTA(O267)=0,COUNTA(AA267)=1),LEFT(D267,3),"")</f>
        <v/>
      </c>
      <c r="AU267" s="515" t="str">
        <f t="shared" ref="AU267" si="40">IF(AND(COUNTA(O267)=1,COUNTA(AA267)=0),LEFT(D267,3),"")</f>
        <v/>
      </c>
      <c r="AV267" s="517" t="str">
        <f t="shared" ref="AV267" si="41">IF(AND(COUNTA(O267)=0,COUNTA(AA267)=0),LEFT(D267,3),"")</f>
        <v/>
      </c>
      <c r="AW267" s="589" t="str">
        <f>IFERROR(VLOOKUP(功能_33[[#This Row],[功能代號]],SIT_FT!D:D,1,FALSE),"")</f>
        <v>L6069</v>
      </c>
    </row>
    <row r="268" spans="1:49" ht="13.5" hidden="1" x14ac:dyDescent="0.3">
      <c r="C268" s="276" t="s">
        <v>82</v>
      </c>
      <c r="D268" s="276" t="s">
        <v>2482</v>
      </c>
      <c r="E268" s="275" t="s">
        <v>578</v>
      </c>
      <c r="F268" s="276" t="s">
        <v>579</v>
      </c>
      <c r="G268" s="276"/>
      <c r="H268" s="275" t="s">
        <v>179</v>
      </c>
      <c r="I268" s="275" t="s">
        <v>300</v>
      </c>
      <c r="J268" s="218" t="s">
        <v>2875</v>
      </c>
      <c r="K268" s="283">
        <v>44565</v>
      </c>
      <c r="L268" s="283">
        <v>44565</v>
      </c>
      <c r="M268" s="283">
        <v>44516</v>
      </c>
      <c r="N268" s="283">
        <v>44467</v>
      </c>
      <c r="O268" s="283">
        <v>44467</v>
      </c>
      <c r="P268" s="275" t="s">
        <v>8</v>
      </c>
      <c r="Q268" s="275" t="s">
        <v>14</v>
      </c>
      <c r="V268" s="275"/>
      <c r="X268" s="275"/>
      <c r="Y268" s="275"/>
      <c r="Z268" s="276" t="str">
        <f>VLOOKUP(功能_33[[#This Row],[User]],SKL放款!A:G,7,FALSE)</f>
        <v>放款管理課</v>
      </c>
      <c r="AA268" s="283">
        <v>44533</v>
      </c>
      <c r="AB268" s="283" t="s">
        <v>181</v>
      </c>
      <c r="AC268" s="283">
        <v>44530</v>
      </c>
      <c r="AD268" s="283">
        <v>44530</v>
      </c>
      <c r="AE268" s="283">
        <v>44550</v>
      </c>
      <c r="AF268" s="283"/>
      <c r="AG268" s="283"/>
      <c r="AH268" s="334"/>
      <c r="AI268" s="283">
        <f>IFERROR(IF(VLOOKUP(功能_33[[#This Row],[功能代號]],E:S,11,FALSE)=0,"",VLOOKUP(功能_33[[#This Row],[功能代號]],E:S,11,FALSE)),"")</f>
        <v>44467</v>
      </c>
      <c r="AJ268" s="283"/>
      <c r="AK268" s="283"/>
      <c r="AL268" s="276"/>
      <c r="AM268" s="283"/>
      <c r="AN268" s="287" t="s">
        <v>580</v>
      </c>
      <c r="AO268" s="288" t="s">
        <v>581</v>
      </c>
      <c r="AQ268" s="507" t="str">
        <f t="shared" si="30"/>
        <v>6-6</v>
      </c>
      <c r="AR268" s="509" t="str">
        <f t="shared" si="31"/>
        <v/>
      </c>
      <c r="AS268" s="511" t="str">
        <f t="shared" si="32"/>
        <v/>
      </c>
      <c r="AT268" s="513" t="str">
        <f t="shared" si="33"/>
        <v/>
      </c>
      <c r="AU268" s="515" t="str">
        <f t="shared" si="34"/>
        <v/>
      </c>
      <c r="AV268" s="517" t="str">
        <f t="shared" si="35"/>
        <v/>
      </c>
      <c r="AW268" s="589" t="str">
        <f>IFERROR(VLOOKUP(功能_33[[#This Row],[功能代號]],SIT_FT!D:D,1,FALSE),"")</f>
        <v>L6065</v>
      </c>
    </row>
    <row r="269" spans="1:49" ht="13.5" hidden="1" x14ac:dyDescent="0.3">
      <c r="C269" s="276" t="s">
        <v>78</v>
      </c>
      <c r="D269" s="276" t="s">
        <v>2498</v>
      </c>
      <c r="E269" s="275" t="s">
        <v>790</v>
      </c>
      <c r="F269" s="276" t="s">
        <v>791</v>
      </c>
      <c r="G269" s="276"/>
      <c r="H269" s="275" t="s">
        <v>179</v>
      </c>
      <c r="I269" s="275" t="s">
        <v>180</v>
      </c>
      <c r="J269" s="218" t="s">
        <v>2775</v>
      </c>
      <c r="K269" s="283">
        <v>44558</v>
      </c>
      <c r="L269" s="283">
        <v>44558</v>
      </c>
      <c r="M269" s="283">
        <v>44491</v>
      </c>
      <c r="N269" s="283">
        <v>44498</v>
      </c>
      <c r="O269" s="283">
        <v>44537</v>
      </c>
      <c r="P269" s="275" t="s">
        <v>8</v>
      </c>
      <c r="Q269" s="275" t="s">
        <v>2698</v>
      </c>
      <c r="R269" s="258" t="s">
        <v>24</v>
      </c>
      <c r="V269" s="275"/>
      <c r="X269" s="275"/>
      <c r="Y269" s="275"/>
      <c r="Z269" s="276" t="str">
        <f>VLOOKUP(功能_33[[#This Row],[User]],SKL放款!A:G,7,FALSE)</f>
        <v>放款服務課</v>
      </c>
      <c r="AA269" s="283">
        <v>44533</v>
      </c>
      <c r="AB269" s="283" t="s">
        <v>2408</v>
      </c>
      <c r="AC269" s="283">
        <v>44543</v>
      </c>
      <c r="AD269" s="283">
        <v>44544</v>
      </c>
      <c r="AE269" s="283">
        <v>44544</v>
      </c>
      <c r="AF269" s="283" t="s">
        <v>182</v>
      </c>
      <c r="AG269" s="283"/>
      <c r="AH269" s="334"/>
      <c r="AI269" s="283">
        <f>IFERROR(IF(VLOOKUP(功能_33[[#This Row],[功能代號]],E:S,11,FALSE)=0,"",VLOOKUP(功能_33[[#This Row],[功能代號]],E:S,11,FALSE)),"")</f>
        <v>44537</v>
      </c>
      <c r="AJ269" s="283"/>
      <c r="AK269" s="283"/>
      <c r="AL269" s="276"/>
      <c r="AM269" s="215" t="s">
        <v>792</v>
      </c>
      <c r="AN269" s="275" t="s">
        <v>793</v>
      </c>
      <c r="AO269" s="276" t="s">
        <v>794</v>
      </c>
      <c r="AQ269" s="507" t="str">
        <f t="shared" si="30"/>
        <v>2-6</v>
      </c>
      <c r="AR269" s="509" t="str">
        <f t="shared" si="31"/>
        <v/>
      </c>
      <c r="AS269" s="511" t="str">
        <f t="shared" si="32"/>
        <v/>
      </c>
      <c r="AT269" s="513" t="str">
        <f t="shared" si="33"/>
        <v/>
      </c>
      <c r="AU269" s="515" t="str">
        <f t="shared" si="34"/>
        <v/>
      </c>
      <c r="AV269" s="517" t="str">
        <f t="shared" si="35"/>
        <v/>
      </c>
      <c r="AW269" s="589" t="str">
        <f>IFERROR(VLOOKUP(功能_33[[#This Row],[功能代號]],SIT_FT!D:D,1,FALSE),"")</f>
        <v/>
      </c>
    </row>
    <row r="270" spans="1:49" ht="13.5" hidden="1" x14ac:dyDescent="0.3">
      <c r="C270" s="276" t="s">
        <v>78</v>
      </c>
      <c r="D270" s="276" t="s">
        <v>2498</v>
      </c>
      <c r="E270" s="275" t="s">
        <v>795</v>
      </c>
      <c r="F270" s="276" t="s">
        <v>796</v>
      </c>
      <c r="G270" s="276"/>
      <c r="H270" s="275" t="s">
        <v>179</v>
      </c>
      <c r="I270" s="275" t="s">
        <v>180</v>
      </c>
      <c r="J270" s="218" t="s">
        <v>2775</v>
      </c>
      <c r="K270" s="283">
        <v>44558</v>
      </c>
      <c r="L270" s="283">
        <v>44558</v>
      </c>
      <c r="M270" s="283">
        <v>44491</v>
      </c>
      <c r="N270" s="283">
        <v>44498</v>
      </c>
      <c r="O270" s="283">
        <v>44537</v>
      </c>
      <c r="P270" s="275" t="s">
        <v>8</v>
      </c>
      <c r="Q270" s="275" t="s">
        <v>11</v>
      </c>
      <c r="V270" s="275"/>
      <c r="X270" s="275"/>
      <c r="Y270" s="275"/>
      <c r="Z270" s="276" t="str">
        <f>VLOOKUP(功能_33[[#This Row],[User]],SKL放款!A:G,7,FALSE)</f>
        <v>放款服務課</v>
      </c>
      <c r="AA270" s="283">
        <v>44533</v>
      </c>
      <c r="AB270" s="283" t="s">
        <v>119</v>
      </c>
      <c r="AC270" s="283">
        <v>44529</v>
      </c>
      <c r="AD270" s="283">
        <v>44529</v>
      </c>
      <c r="AE270" s="283">
        <v>44544</v>
      </c>
      <c r="AF270" s="283" t="s">
        <v>797</v>
      </c>
      <c r="AG270" s="283"/>
      <c r="AH270" s="334"/>
      <c r="AI270" s="283">
        <f>IFERROR(IF(VLOOKUP(功能_33[[#This Row],[功能代號]],E:S,11,FALSE)=0,"",VLOOKUP(功能_33[[#This Row],[功能代號]],E:S,11,FALSE)),"")</f>
        <v>44537</v>
      </c>
      <c r="AJ270" s="283"/>
      <c r="AK270" s="283"/>
      <c r="AL270" s="276"/>
      <c r="AM270" s="283">
        <v>44491</v>
      </c>
      <c r="AN270" s="275">
        <v>232</v>
      </c>
      <c r="AO270" s="276" t="s">
        <v>798</v>
      </c>
      <c r="AQ270" s="507" t="str">
        <f t="shared" si="30"/>
        <v>2-6</v>
      </c>
      <c r="AR270" s="509" t="str">
        <f t="shared" si="31"/>
        <v/>
      </c>
      <c r="AS270" s="511" t="str">
        <f t="shared" si="32"/>
        <v/>
      </c>
      <c r="AT270" s="513" t="str">
        <f t="shared" si="33"/>
        <v/>
      </c>
      <c r="AU270" s="515" t="str">
        <f t="shared" si="34"/>
        <v/>
      </c>
      <c r="AV270" s="517" t="str">
        <f t="shared" si="35"/>
        <v/>
      </c>
      <c r="AW270" s="589" t="str">
        <f>IFERROR(VLOOKUP(功能_33[[#This Row],[功能代號]],SIT_FT!D:D,1,FALSE),"")</f>
        <v/>
      </c>
    </row>
    <row r="271" spans="1:49" ht="13.5" hidden="1" x14ac:dyDescent="0.3">
      <c r="C271" s="276" t="s">
        <v>78</v>
      </c>
      <c r="D271" s="276" t="s">
        <v>2498</v>
      </c>
      <c r="E271" s="275" t="s">
        <v>799</v>
      </c>
      <c r="F271" s="276" t="s">
        <v>800</v>
      </c>
      <c r="G271" s="276"/>
      <c r="H271" s="275" t="s">
        <v>179</v>
      </c>
      <c r="I271" s="275" t="s">
        <v>180</v>
      </c>
      <c r="J271" s="218" t="s">
        <v>2775</v>
      </c>
      <c r="K271" s="283">
        <v>44558</v>
      </c>
      <c r="L271" s="283">
        <v>44558</v>
      </c>
      <c r="M271" s="283">
        <v>44491</v>
      </c>
      <c r="N271" s="283">
        <v>44498</v>
      </c>
      <c r="O271" s="283">
        <v>44498</v>
      </c>
      <c r="P271" s="275" t="s">
        <v>8</v>
      </c>
      <c r="Q271" s="275" t="s">
        <v>11</v>
      </c>
      <c r="V271" s="275"/>
      <c r="X271" s="275"/>
      <c r="Y271" s="275"/>
      <c r="Z271" s="276" t="str">
        <f>VLOOKUP(功能_33[[#This Row],[User]],SKL放款!A:G,7,FALSE)</f>
        <v>放款服務課</v>
      </c>
      <c r="AA271" s="283">
        <v>44533</v>
      </c>
      <c r="AB271" s="283" t="s">
        <v>181</v>
      </c>
      <c r="AC271" s="283">
        <v>44543</v>
      </c>
      <c r="AD271" s="283">
        <v>44544</v>
      </c>
      <c r="AE271" s="283">
        <v>44544</v>
      </c>
      <c r="AF271" s="283" t="s">
        <v>182</v>
      </c>
      <c r="AG271" s="283"/>
      <c r="AH271" s="334"/>
      <c r="AI271" s="283">
        <f>IFERROR(IF(VLOOKUP(功能_33[[#This Row],[功能代號]],E:S,11,FALSE)=0,"",VLOOKUP(功能_33[[#This Row],[功能代號]],E:S,11,FALSE)),"")</f>
        <v>44498</v>
      </c>
      <c r="AJ271" s="283"/>
      <c r="AK271" s="283"/>
      <c r="AL271" s="276"/>
      <c r="AM271" s="283">
        <v>44491</v>
      </c>
      <c r="AN271" s="275">
        <v>232</v>
      </c>
      <c r="AO271" s="276" t="s">
        <v>801</v>
      </c>
      <c r="AQ271" s="507" t="str">
        <f t="shared" si="30"/>
        <v>2-6</v>
      </c>
      <c r="AR271" s="509" t="str">
        <f t="shared" si="31"/>
        <v/>
      </c>
      <c r="AS271" s="511" t="str">
        <f t="shared" si="32"/>
        <v/>
      </c>
      <c r="AT271" s="513" t="str">
        <f t="shared" si="33"/>
        <v/>
      </c>
      <c r="AU271" s="515" t="str">
        <f t="shared" si="34"/>
        <v/>
      </c>
      <c r="AV271" s="517" t="str">
        <f t="shared" si="35"/>
        <v/>
      </c>
      <c r="AW271" s="589" t="str">
        <f>IFERROR(VLOOKUP(功能_33[[#This Row],[功能代號]],SIT_FT!D:D,1,FALSE),"")</f>
        <v/>
      </c>
    </row>
    <row r="272" spans="1:49" ht="13.5" hidden="1" x14ac:dyDescent="0.3">
      <c r="C272" s="276" t="s">
        <v>78</v>
      </c>
      <c r="D272" s="276" t="s">
        <v>2498</v>
      </c>
      <c r="E272" s="275" t="s">
        <v>802</v>
      </c>
      <c r="F272" s="276" t="s">
        <v>803</v>
      </c>
      <c r="G272" s="276"/>
      <c r="H272" s="275" t="s">
        <v>179</v>
      </c>
      <c r="I272" s="275" t="s">
        <v>180</v>
      </c>
      <c r="J272" s="218" t="s">
        <v>2775</v>
      </c>
      <c r="K272" s="283">
        <v>44558</v>
      </c>
      <c r="L272" s="283">
        <v>44558</v>
      </c>
      <c r="M272" s="283">
        <v>44491</v>
      </c>
      <c r="N272" s="283">
        <v>44498</v>
      </c>
      <c r="O272" s="283">
        <v>44537</v>
      </c>
      <c r="P272" s="275" t="s">
        <v>8</v>
      </c>
      <c r="Q272" s="275" t="s">
        <v>11</v>
      </c>
      <c r="V272" s="275"/>
      <c r="X272" s="275"/>
      <c r="Y272" s="275"/>
      <c r="Z272" s="276" t="str">
        <f>VLOOKUP(功能_33[[#This Row],[User]],SKL放款!A:G,7,FALSE)</f>
        <v>放款服務課</v>
      </c>
      <c r="AA272" s="283">
        <v>44533</v>
      </c>
      <c r="AB272" s="283" t="s">
        <v>181</v>
      </c>
      <c r="AC272" s="283">
        <v>44543</v>
      </c>
      <c r="AD272" s="283">
        <v>44544</v>
      </c>
      <c r="AE272" s="283">
        <v>44544</v>
      </c>
      <c r="AF272" s="283" t="s">
        <v>182</v>
      </c>
      <c r="AG272" s="283"/>
      <c r="AH272" s="334"/>
      <c r="AI272" s="283">
        <f>IFERROR(IF(VLOOKUP(功能_33[[#This Row],[功能代號]],E:S,11,FALSE)=0,"",VLOOKUP(功能_33[[#This Row],[功能代號]],E:S,11,FALSE)),"")</f>
        <v>44537</v>
      </c>
      <c r="AJ272" s="283"/>
      <c r="AK272" s="283"/>
      <c r="AL272" s="276"/>
      <c r="AM272" s="283">
        <v>44491</v>
      </c>
      <c r="AN272" s="275">
        <v>233</v>
      </c>
      <c r="AO272" s="276" t="s">
        <v>804</v>
      </c>
      <c r="AQ272" s="507" t="str">
        <f t="shared" si="30"/>
        <v>2-6</v>
      </c>
      <c r="AR272" s="509" t="str">
        <f t="shared" si="31"/>
        <v/>
      </c>
      <c r="AS272" s="511" t="str">
        <f t="shared" si="32"/>
        <v/>
      </c>
      <c r="AT272" s="513" t="str">
        <f t="shared" si="33"/>
        <v/>
      </c>
      <c r="AU272" s="515" t="str">
        <f t="shared" si="34"/>
        <v/>
      </c>
      <c r="AV272" s="517" t="str">
        <f t="shared" si="35"/>
        <v/>
      </c>
      <c r="AW272" s="589" t="str">
        <f>IFERROR(VLOOKUP(功能_33[[#This Row],[功能代號]],SIT_FT!D:D,1,FALSE),"")</f>
        <v/>
      </c>
    </row>
    <row r="273" spans="1:49" ht="13.5" hidden="1" x14ac:dyDescent="0.3">
      <c r="C273" s="276" t="s">
        <v>78</v>
      </c>
      <c r="D273" s="276" t="s">
        <v>2498</v>
      </c>
      <c r="E273" s="275" t="s">
        <v>805</v>
      </c>
      <c r="F273" s="276" t="s">
        <v>806</v>
      </c>
      <c r="G273" s="276"/>
      <c r="H273" s="275" t="s">
        <v>179</v>
      </c>
      <c r="I273" s="275" t="s">
        <v>180</v>
      </c>
      <c r="J273" s="218" t="s">
        <v>2775</v>
      </c>
      <c r="K273" s="283">
        <v>44558</v>
      </c>
      <c r="L273" s="283">
        <v>44558</v>
      </c>
      <c r="M273" s="283">
        <v>44491</v>
      </c>
      <c r="N273" s="283">
        <v>44498</v>
      </c>
      <c r="O273" s="283">
        <v>44498</v>
      </c>
      <c r="P273" s="275" t="s">
        <v>8</v>
      </c>
      <c r="Q273" s="275" t="s">
        <v>11</v>
      </c>
      <c r="V273" s="275"/>
      <c r="X273" s="275"/>
      <c r="Y273" s="275"/>
      <c r="Z273" s="276" t="str">
        <f>VLOOKUP(功能_33[[#This Row],[User]],SKL放款!A:G,7,FALSE)</f>
        <v>放款服務課</v>
      </c>
      <c r="AA273" s="283">
        <v>44533</v>
      </c>
      <c r="AB273" s="283" t="s">
        <v>181</v>
      </c>
      <c r="AC273" s="283">
        <v>44543</v>
      </c>
      <c r="AD273" s="283">
        <v>44544</v>
      </c>
      <c r="AE273" s="283">
        <v>44544</v>
      </c>
      <c r="AF273" s="283" t="s">
        <v>182</v>
      </c>
      <c r="AG273" s="283"/>
      <c r="AH273" s="334"/>
      <c r="AI273" s="283">
        <f>IFERROR(IF(VLOOKUP(功能_33[[#This Row],[功能代號]],E:S,11,FALSE)=0,"",VLOOKUP(功能_33[[#This Row],[功能代號]],E:S,11,FALSE)),"")</f>
        <v>44498</v>
      </c>
      <c r="AJ273" s="283"/>
      <c r="AK273" s="283"/>
      <c r="AL273" s="276"/>
      <c r="AM273" s="283">
        <v>44491</v>
      </c>
      <c r="AN273" s="275" t="s">
        <v>176</v>
      </c>
      <c r="AO273" s="275" t="s">
        <v>176</v>
      </c>
      <c r="AQ273" s="507" t="str">
        <f t="shared" si="30"/>
        <v>2-6</v>
      </c>
      <c r="AR273" s="509" t="str">
        <f t="shared" si="31"/>
        <v/>
      </c>
      <c r="AS273" s="511" t="str">
        <f t="shared" si="32"/>
        <v/>
      </c>
      <c r="AT273" s="513" t="str">
        <f t="shared" si="33"/>
        <v/>
      </c>
      <c r="AU273" s="515" t="str">
        <f t="shared" si="34"/>
        <v/>
      </c>
      <c r="AV273" s="517" t="str">
        <f t="shared" si="35"/>
        <v/>
      </c>
      <c r="AW273" s="589" t="str">
        <f>IFERROR(VLOOKUP(功能_33[[#This Row],[功能代號]],SIT_FT!D:D,1,FALSE),"")</f>
        <v/>
      </c>
    </row>
    <row r="274" spans="1:49" ht="13.5" hidden="1" x14ac:dyDescent="0.3">
      <c r="C274" s="276" t="s">
        <v>78</v>
      </c>
      <c r="D274" s="276" t="s">
        <v>2498</v>
      </c>
      <c r="E274" s="275" t="s">
        <v>807</v>
      </c>
      <c r="F274" s="276" t="s">
        <v>808</v>
      </c>
      <c r="G274" s="276"/>
      <c r="H274" s="275" t="s">
        <v>179</v>
      </c>
      <c r="I274" s="275" t="s">
        <v>180</v>
      </c>
      <c r="J274" s="218" t="s">
        <v>2775</v>
      </c>
      <c r="K274" s="283">
        <v>44558</v>
      </c>
      <c r="L274" s="283">
        <v>44558</v>
      </c>
      <c r="M274" s="283">
        <v>44491</v>
      </c>
      <c r="N274" s="283">
        <v>44498</v>
      </c>
      <c r="O274" s="283">
        <v>44537</v>
      </c>
      <c r="P274" s="275" t="s">
        <v>8</v>
      </c>
      <c r="Q274" s="275" t="s">
        <v>11</v>
      </c>
      <c r="V274" s="275"/>
      <c r="X274" s="275"/>
      <c r="Y274" s="275"/>
      <c r="Z274" s="276" t="str">
        <f>VLOOKUP(功能_33[[#This Row],[User]],SKL放款!A:G,7,FALSE)</f>
        <v>放款服務課</v>
      </c>
      <c r="AA274" s="283">
        <v>44533</v>
      </c>
      <c r="AB274" s="283" t="s">
        <v>181</v>
      </c>
      <c r="AC274" s="283">
        <v>44543</v>
      </c>
      <c r="AD274" s="283">
        <v>44544</v>
      </c>
      <c r="AE274" s="283">
        <v>44544</v>
      </c>
      <c r="AF274" s="283" t="s">
        <v>182</v>
      </c>
      <c r="AG274" s="283"/>
      <c r="AH274" s="334"/>
      <c r="AI274" s="283">
        <f>IFERROR(IF(VLOOKUP(功能_33[[#This Row],[功能代號]],E:S,11,FALSE)=0,"",VLOOKUP(功能_33[[#This Row],[功能代號]],E:S,11,FALSE)),"")</f>
        <v>44537</v>
      </c>
      <c r="AJ274" s="283"/>
      <c r="AK274" s="283"/>
      <c r="AL274" s="276"/>
      <c r="AM274" s="283">
        <v>44491</v>
      </c>
      <c r="AN274" s="275">
        <v>233</v>
      </c>
      <c r="AO274" s="276" t="s">
        <v>809</v>
      </c>
      <c r="AQ274" s="507" t="str">
        <f t="shared" si="30"/>
        <v>2-6</v>
      </c>
      <c r="AR274" s="509" t="str">
        <f t="shared" si="31"/>
        <v/>
      </c>
      <c r="AS274" s="511" t="str">
        <f t="shared" si="32"/>
        <v/>
      </c>
      <c r="AT274" s="513" t="str">
        <f t="shared" si="33"/>
        <v/>
      </c>
      <c r="AU274" s="515" t="str">
        <f t="shared" si="34"/>
        <v/>
      </c>
      <c r="AV274" s="517" t="str">
        <f t="shared" si="35"/>
        <v/>
      </c>
      <c r="AW274" s="589" t="str">
        <f>IFERROR(VLOOKUP(功能_33[[#This Row],[功能代號]],SIT_FT!D:D,1,FALSE),"")</f>
        <v/>
      </c>
    </row>
    <row r="275" spans="1:49" ht="27" hidden="1" x14ac:dyDescent="0.3">
      <c r="C275" s="276" t="s">
        <v>80</v>
      </c>
      <c r="D275" s="276" t="s">
        <v>810</v>
      </c>
      <c r="E275" s="275" t="s">
        <v>811</v>
      </c>
      <c r="F275" s="276" t="s">
        <v>812</v>
      </c>
      <c r="G275" s="276"/>
      <c r="H275" s="275" t="s">
        <v>179</v>
      </c>
      <c r="I275" s="275" t="s">
        <v>2449</v>
      </c>
      <c r="J275" s="218" t="s">
        <v>2606</v>
      </c>
      <c r="K275" s="283">
        <v>44582</v>
      </c>
      <c r="L275" s="275"/>
      <c r="M275" s="283">
        <v>44490</v>
      </c>
      <c r="N275" s="283">
        <v>44490</v>
      </c>
      <c r="O275" s="283">
        <v>44533</v>
      </c>
      <c r="P275" s="275" t="s">
        <v>7</v>
      </c>
      <c r="Q275" s="275" t="s">
        <v>158</v>
      </c>
      <c r="V275" s="275"/>
      <c r="X275" s="275"/>
      <c r="Y275" s="275"/>
      <c r="Z275" s="276" t="str">
        <f>VLOOKUP(功能_33[[#This Row],[User]],SKL放款!A:G,7,FALSE)</f>
        <v>放款服務課</v>
      </c>
      <c r="AA275" s="283">
        <v>44533</v>
      </c>
      <c r="AB275" s="283" t="s">
        <v>181</v>
      </c>
      <c r="AC275" s="283">
        <v>44531</v>
      </c>
      <c r="AD275" s="283">
        <v>44531</v>
      </c>
      <c r="AE275" s="283">
        <v>44539</v>
      </c>
      <c r="AF275" s="283"/>
      <c r="AG275" s="283"/>
      <c r="AH275" s="334"/>
      <c r="AI275" s="283">
        <f>IFERROR(IF(VLOOKUP(功能_33[[#This Row],[功能代號]],E:S,11,FALSE)=0,"",VLOOKUP(功能_33[[#This Row],[功能代號]],E:S,11,FALSE)),"")</f>
        <v>44533</v>
      </c>
      <c r="AJ275" s="283"/>
      <c r="AK275" s="283"/>
      <c r="AL275" s="276"/>
      <c r="AM275" s="283"/>
      <c r="AN275" s="292" t="s">
        <v>2669</v>
      </c>
      <c r="AO275" s="276" t="s">
        <v>2670</v>
      </c>
      <c r="AQ275" s="507" t="str">
        <f t="shared" si="30"/>
        <v>4-3</v>
      </c>
      <c r="AR275" s="509" t="str">
        <f t="shared" si="31"/>
        <v/>
      </c>
      <c r="AS275" s="511" t="str">
        <f t="shared" si="32"/>
        <v/>
      </c>
      <c r="AT275" s="513" t="str">
        <f t="shared" si="33"/>
        <v/>
      </c>
      <c r="AU275" s="515" t="str">
        <f t="shared" si="34"/>
        <v/>
      </c>
      <c r="AV275" s="517" t="str">
        <f t="shared" si="35"/>
        <v/>
      </c>
      <c r="AW275" s="589" t="str">
        <f>IFERROR(VLOOKUP(功能_33[[#This Row],[功能代號]],SIT_FT!D:D,1,FALSE),"")</f>
        <v>L4322</v>
      </c>
    </row>
    <row r="276" spans="1:49" ht="40.5" hidden="1" x14ac:dyDescent="0.3">
      <c r="C276" s="276" t="s">
        <v>80</v>
      </c>
      <c r="D276" s="276" t="s">
        <v>810</v>
      </c>
      <c r="E276" s="275" t="s">
        <v>813</v>
      </c>
      <c r="F276" s="276" t="s">
        <v>814</v>
      </c>
      <c r="G276" s="276"/>
      <c r="H276" s="275" t="s">
        <v>179</v>
      </c>
      <c r="I276" s="275" t="s">
        <v>2449</v>
      </c>
      <c r="J276" s="218" t="s">
        <v>2606</v>
      </c>
      <c r="K276" s="283">
        <v>44583</v>
      </c>
      <c r="L276" s="275"/>
      <c r="M276" s="283">
        <v>44490</v>
      </c>
      <c r="N276" s="283">
        <v>44490</v>
      </c>
      <c r="O276" s="283">
        <v>44533</v>
      </c>
      <c r="P276" s="275" t="s">
        <v>7</v>
      </c>
      <c r="Q276" s="275" t="s">
        <v>158</v>
      </c>
      <c r="V276" s="275"/>
      <c r="X276" s="275"/>
      <c r="Y276" s="275"/>
      <c r="Z276" s="276" t="str">
        <f>VLOOKUP(功能_33[[#This Row],[User]],SKL放款!A:G,7,FALSE)</f>
        <v>放款服務課</v>
      </c>
      <c r="AA276" s="283">
        <v>44533</v>
      </c>
      <c r="AB276" s="283" t="s">
        <v>119</v>
      </c>
      <c r="AC276" s="283">
        <v>44531</v>
      </c>
      <c r="AD276" s="283">
        <v>44531</v>
      </c>
      <c r="AE276" s="283">
        <v>44539</v>
      </c>
      <c r="AF276" s="283"/>
      <c r="AG276" s="283"/>
      <c r="AH276" s="334"/>
      <c r="AI276" s="283">
        <f>IFERROR(IF(VLOOKUP(功能_33[[#This Row],[功能代號]],E:S,11,FALSE)=0,"",VLOOKUP(功能_33[[#This Row],[功能代號]],E:S,11,FALSE)),"")</f>
        <v>44533</v>
      </c>
      <c r="AJ276" s="283"/>
      <c r="AK276" s="283"/>
      <c r="AL276" s="276"/>
      <c r="AM276" s="283"/>
      <c r="AN276" s="292" t="s">
        <v>2671</v>
      </c>
      <c r="AO276" s="212" t="s">
        <v>2672</v>
      </c>
      <c r="AQ276" s="507" t="str">
        <f t="shared" si="30"/>
        <v>4-3</v>
      </c>
      <c r="AR276" s="509" t="str">
        <f t="shared" si="31"/>
        <v/>
      </c>
      <c r="AS276" s="511" t="str">
        <f t="shared" si="32"/>
        <v/>
      </c>
      <c r="AT276" s="513" t="str">
        <f t="shared" si="33"/>
        <v/>
      </c>
      <c r="AU276" s="515" t="str">
        <f t="shared" si="34"/>
        <v/>
      </c>
      <c r="AV276" s="517" t="str">
        <f t="shared" si="35"/>
        <v/>
      </c>
      <c r="AW276" s="589" t="str">
        <f>IFERROR(VLOOKUP(功能_33[[#This Row],[功能代號]],SIT_FT!D:D,1,FALSE),"")</f>
        <v>L4320</v>
      </c>
    </row>
    <row r="277" spans="1:49" ht="13.5" hidden="1" x14ac:dyDescent="0.3">
      <c r="C277" s="276" t="s">
        <v>80</v>
      </c>
      <c r="D277" s="276" t="s">
        <v>810</v>
      </c>
      <c r="E277" s="275" t="s">
        <v>815</v>
      </c>
      <c r="F277" s="276" t="s">
        <v>816</v>
      </c>
      <c r="G277" s="276"/>
      <c r="H277" s="275" t="s">
        <v>179</v>
      </c>
      <c r="I277" s="275" t="s">
        <v>2449</v>
      </c>
      <c r="J277" s="218" t="s">
        <v>2606</v>
      </c>
      <c r="K277" s="283">
        <v>44583</v>
      </c>
      <c r="L277" s="275"/>
      <c r="M277" s="283">
        <v>44490</v>
      </c>
      <c r="N277" s="283">
        <v>44490</v>
      </c>
      <c r="O277" s="283">
        <v>44533</v>
      </c>
      <c r="P277" s="275" t="s">
        <v>7</v>
      </c>
      <c r="Q277" s="275" t="s">
        <v>158</v>
      </c>
      <c r="V277" s="275"/>
      <c r="X277" s="275"/>
      <c r="Y277" s="275"/>
      <c r="Z277" s="276" t="str">
        <f>VLOOKUP(功能_33[[#This Row],[User]],SKL放款!A:G,7,FALSE)</f>
        <v>放款服務課</v>
      </c>
      <c r="AA277" s="283">
        <v>44533</v>
      </c>
      <c r="AB277" s="283" t="s">
        <v>119</v>
      </c>
      <c r="AC277" s="283">
        <v>44531</v>
      </c>
      <c r="AD277" s="283">
        <v>44531</v>
      </c>
      <c r="AE277" s="283">
        <v>44539</v>
      </c>
      <c r="AF277" s="283"/>
      <c r="AG277" s="283"/>
      <c r="AH277" s="334"/>
      <c r="AI277" s="283">
        <f>IFERROR(IF(VLOOKUP(功能_33[[#This Row],[功能代號]],E:S,11,FALSE)=0,"",VLOOKUP(功能_33[[#This Row],[功能代號]],E:S,11,FALSE)),"")</f>
        <v>44533</v>
      </c>
      <c r="AJ277" s="283"/>
      <c r="AK277" s="283"/>
      <c r="AL277" s="276"/>
      <c r="AM277" s="283"/>
      <c r="AN277" s="275" t="s">
        <v>2623</v>
      </c>
      <c r="AO277" s="275" t="s">
        <v>2623</v>
      </c>
      <c r="AQ277" s="507" t="str">
        <f t="shared" si="30"/>
        <v>4-3</v>
      </c>
      <c r="AR277" s="509" t="str">
        <f t="shared" si="31"/>
        <v/>
      </c>
      <c r="AS277" s="511" t="str">
        <f t="shared" si="32"/>
        <v/>
      </c>
      <c r="AT277" s="513" t="str">
        <f t="shared" si="33"/>
        <v/>
      </c>
      <c r="AU277" s="515" t="str">
        <f t="shared" si="34"/>
        <v/>
      </c>
      <c r="AV277" s="517" t="str">
        <f t="shared" si="35"/>
        <v/>
      </c>
      <c r="AW277" s="589" t="str">
        <f>IFERROR(VLOOKUP(功能_33[[#This Row],[功能代號]],SIT_FT!D:D,1,FALSE),"")</f>
        <v>L4031</v>
      </c>
    </row>
    <row r="278" spans="1:49" ht="27" hidden="1" x14ac:dyDescent="0.3">
      <c r="C278" s="276" t="s">
        <v>80</v>
      </c>
      <c r="D278" s="276" t="s">
        <v>810</v>
      </c>
      <c r="E278" s="275" t="s">
        <v>817</v>
      </c>
      <c r="F278" s="276" t="s">
        <v>818</v>
      </c>
      <c r="G278" s="276"/>
      <c r="H278" s="275" t="s">
        <v>179</v>
      </c>
      <c r="I278" s="275" t="s">
        <v>2449</v>
      </c>
      <c r="J278" s="218" t="s">
        <v>2606</v>
      </c>
      <c r="K278" s="283">
        <v>44583</v>
      </c>
      <c r="L278" s="275"/>
      <c r="M278" s="283">
        <v>44490</v>
      </c>
      <c r="N278" s="283">
        <v>44490</v>
      </c>
      <c r="O278" s="283">
        <v>44533</v>
      </c>
      <c r="P278" s="275" t="s">
        <v>7</v>
      </c>
      <c r="Q278" s="275" t="s">
        <v>158</v>
      </c>
      <c r="V278" s="275"/>
      <c r="X278" s="275"/>
      <c r="Y278" s="275"/>
      <c r="Z278" s="276" t="str">
        <f>VLOOKUP(功能_33[[#This Row],[User]],SKL放款!A:G,7,FALSE)</f>
        <v>放款服務課</v>
      </c>
      <c r="AA278" s="283">
        <v>44533</v>
      </c>
      <c r="AB278" s="283" t="s">
        <v>119</v>
      </c>
      <c r="AC278" s="283">
        <v>44531</v>
      </c>
      <c r="AD278" s="283">
        <v>44531</v>
      </c>
      <c r="AE278" s="283">
        <v>44539</v>
      </c>
      <c r="AF278" s="283"/>
      <c r="AG278" s="283"/>
      <c r="AH278" s="334"/>
      <c r="AI278" s="283">
        <f>IFERROR(IF(VLOOKUP(功能_33[[#This Row],[功能代號]],E:S,11,FALSE)=0,"",VLOOKUP(功能_33[[#This Row],[功能代號]],E:S,11,FALSE)),"")</f>
        <v>44533</v>
      </c>
      <c r="AJ278" s="283"/>
      <c r="AK278" s="283"/>
      <c r="AL278" s="276"/>
      <c r="AM278" s="283"/>
      <c r="AN278" s="292" t="s">
        <v>2673</v>
      </c>
      <c r="AO278" s="212" t="s">
        <v>2674</v>
      </c>
      <c r="AQ278" s="507" t="str">
        <f t="shared" si="30"/>
        <v>4-3</v>
      </c>
      <c r="AR278" s="509" t="str">
        <f t="shared" si="31"/>
        <v/>
      </c>
      <c r="AS278" s="511" t="str">
        <f t="shared" si="32"/>
        <v/>
      </c>
      <c r="AT278" s="513" t="str">
        <f t="shared" si="33"/>
        <v/>
      </c>
      <c r="AU278" s="515" t="str">
        <f t="shared" si="34"/>
        <v/>
      </c>
      <c r="AV278" s="517" t="str">
        <f t="shared" si="35"/>
        <v/>
      </c>
      <c r="AW278" s="589" t="str">
        <f>IFERROR(VLOOKUP(功能_33[[#This Row],[功能代號]],SIT_FT!D:D,1,FALSE),"")</f>
        <v>L4321</v>
      </c>
    </row>
    <row r="279" spans="1:49" ht="13.5" hidden="1" x14ac:dyDescent="0.3">
      <c r="C279" s="276" t="s">
        <v>80</v>
      </c>
      <c r="D279" s="276" t="s">
        <v>810</v>
      </c>
      <c r="E279" s="275" t="s">
        <v>819</v>
      </c>
      <c r="F279" s="276" t="s">
        <v>820</v>
      </c>
      <c r="G279" s="276" t="s">
        <v>821</v>
      </c>
      <c r="H279" s="275" t="s">
        <v>179</v>
      </c>
      <c r="I279" s="275" t="s">
        <v>2449</v>
      </c>
      <c r="J279" s="218" t="s">
        <v>2606</v>
      </c>
      <c r="K279" s="283">
        <v>44583</v>
      </c>
      <c r="L279" s="275"/>
      <c r="M279" s="283">
        <v>44490</v>
      </c>
      <c r="N279" s="283">
        <v>44490</v>
      </c>
      <c r="O279" s="283">
        <v>44533</v>
      </c>
      <c r="P279" s="275" t="s">
        <v>7</v>
      </c>
      <c r="Q279" s="275" t="s">
        <v>158</v>
      </c>
      <c r="V279" s="275"/>
      <c r="X279" s="275"/>
      <c r="Y279" s="275"/>
      <c r="Z279" s="276" t="str">
        <f>VLOOKUP(功能_33[[#This Row],[User]],SKL放款!A:G,7,FALSE)</f>
        <v>放款服務課</v>
      </c>
      <c r="AA279" s="283">
        <v>44533</v>
      </c>
      <c r="AB279" s="283" t="s">
        <v>181</v>
      </c>
      <c r="AC279" s="283">
        <v>44531</v>
      </c>
      <c r="AD279" s="283">
        <v>44531</v>
      </c>
      <c r="AE279" s="283">
        <v>44539</v>
      </c>
      <c r="AF279" s="283"/>
      <c r="AG279" s="283"/>
      <c r="AH279" s="334"/>
      <c r="AI279" s="283">
        <f>IFERROR(IF(VLOOKUP(功能_33[[#This Row],[功能代號]],E:S,11,FALSE)=0,"",VLOOKUP(功能_33[[#This Row],[功能代號]],E:S,11,FALSE)),"")</f>
        <v>44533</v>
      </c>
      <c r="AJ279" s="283"/>
      <c r="AK279" s="283"/>
      <c r="AL279" s="276"/>
      <c r="AM279" s="283"/>
      <c r="AN279" s="275" t="s">
        <v>2623</v>
      </c>
      <c r="AO279" s="275" t="s">
        <v>2623</v>
      </c>
      <c r="AQ279" s="507" t="str">
        <f t="shared" si="30"/>
        <v>4-3</v>
      </c>
      <c r="AR279" s="509" t="str">
        <f t="shared" si="31"/>
        <v/>
      </c>
      <c r="AS279" s="511" t="str">
        <f t="shared" si="32"/>
        <v/>
      </c>
      <c r="AT279" s="513" t="str">
        <f t="shared" si="33"/>
        <v/>
      </c>
      <c r="AU279" s="515" t="str">
        <f t="shared" si="34"/>
        <v/>
      </c>
      <c r="AV279" s="517" t="str">
        <f t="shared" si="35"/>
        <v/>
      </c>
      <c r="AW279" s="589" t="str">
        <f>IFERROR(VLOOKUP(功能_33[[#This Row],[功能代號]],SIT_FT!D:D,1,FALSE),"")</f>
        <v>L4325</v>
      </c>
    </row>
    <row r="280" spans="1:49" ht="13.5" hidden="1" x14ac:dyDescent="0.3">
      <c r="C280" s="276" t="s">
        <v>80</v>
      </c>
      <c r="D280" s="276" t="s">
        <v>810</v>
      </c>
      <c r="E280" s="275" t="s">
        <v>822</v>
      </c>
      <c r="F280" s="276" t="s">
        <v>823</v>
      </c>
      <c r="G280" s="276"/>
      <c r="H280" s="275" t="s">
        <v>179</v>
      </c>
      <c r="I280" s="275" t="s">
        <v>2449</v>
      </c>
      <c r="J280" s="218" t="s">
        <v>2606</v>
      </c>
      <c r="K280" s="283">
        <v>44583</v>
      </c>
      <c r="L280" s="275"/>
      <c r="M280" s="283">
        <v>44490</v>
      </c>
      <c r="N280" s="283">
        <v>44490</v>
      </c>
      <c r="O280" s="283">
        <v>44533</v>
      </c>
      <c r="P280" s="275" t="s">
        <v>7</v>
      </c>
      <c r="Q280" s="275" t="s">
        <v>158</v>
      </c>
      <c r="V280" s="275"/>
      <c r="X280" s="275"/>
      <c r="Y280" s="275"/>
      <c r="Z280" s="276" t="str">
        <f>VLOOKUP(功能_33[[#This Row],[User]],SKL放款!A:G,7,FALSE)</f>
        <v>放款服務課</v>
      </c>
      <c r="AA280" s="283">
        <v>44533</v>
      </c>
      <c r="AB280" s="283" t="s">
        <v>119</v>
      </c>
      <c r="AC280" s="283">
        <v>44531</v>
      </c>
      <c r="AD280" s="283">
        <v>44531</v>
      </c>
      <c r="AE280" s="283">
        <v>44539</v>
      </c>
      <c r="AF280" s="283"/>
      <c r="AG280" s="283"/>
      <c r="AH280" s="334"/>
      <c r="AI280" s="283">
        <f>IFERROR(IF(VLOOKUP(功能_33[[#This Row],[功能代號]],E:S,11,FALSE)=0,"",VLOOKUP(功能_33[[#This Row],[功能代號]],E:S,11,FALSE)),"")</f>
        <v>44533</v>
      </c>
      <c r="AJ280" s="283"/>
      <c r="AK280" s="283"/>
      <c r="AL280" s="276"/>
      <c r="AM280" s="283"/>
      <c r="AN280" s="275" t="s">
        <v>2623</v>
      </c>
      <c r="AO280" s="275" t="s">
        <v>2623</v>
      </c>
      <c r="AQ280" s="507" t="str">
        <f t="shared" si="30"/>
        <v>4-3</v>
      </c>
      <c r="AR280" s="509" t="str">
        <f t="shared" si="31"/>
        <v/>
      </c>
      <c r="AS280" s="511" t="str">
        <f t="shared" si="32"/>
        <v/>
      </c>
      <c r="AT280" s="513" t="str">
        <f t="shared" si="33"/>
        <v/>
      </c>
      <c r="AU280" s="515" t="str">
        <f t="shared" si="34"/>
        <v/>
      </c>
      <c r="AV280" s="517" t="str">
        <f t="shared" si="35"/>
        <v/>
      </c>
      <c r="AW280" s="589" t="str">
        <f>IFERROR(VLOOKUP(功能_33[[#This Row],[功能代號]],SIT_FT!D:D,1,FALSE),"")</f>
        <v>L4931</v>
      </c>
    </row>
    <row r="281" spans="1:49" ht="27" hidden="1" x14ac:dyDescent="0.3">
      <c r="C281" s="276" t="s">
        <v>80</v>
      </c>
      <c r="D281" s="276" t="s">
        <v>810</v>
      </c>
      <c r="E281" s="275" t="s">
        <v>824</v>
      </c>
      <c r="F281" s="276" t="s">
        <v>825</v>
      </c>
      <c r="G281" s="276"/>
      <c r="H281" s="275" t="s">
        <v>179</v>
      </c>
      <c r="I281" s="275" t="s">
        <v>2449</v>
      </c>
      <c r="J281" s="218" t="s">
        <v>2606</v>
      </c>
      <c r="K281" s="283">
        <v>44583</v>
      </c>
      <c r="L281" s="275"/>
      <c r="M281" s="283">
        <v>44490</v>
      </c>
      <c r="N281" s="283">
        <v>44490</v>
      </c>
      <c r="O281" s="283">
        <v>44533</v>
      </c>
      <c r="P281" s="275" t="s">
        <v>7</v>
      </c>
      <c r="Q281" s="275" t="s">
        <v>158</v>
      </c>
      <c r="V281" s="275"/>
      <c r="X281" s="275"/>
      <c r="Y281" s="275"/>
      <c r="Z281" s="276" t="str">
        <f>VLOOKUP(功能_33[[#This Row],[User]],SKL放款!A:G,7,FALSE)</f>
        <v>放款服務課</v>
      </c>
      <c r="AA281" s="283">
        <v>44533</v>
      </c>
      <c r="AB281" s="283" t="s">
        <v>181</v>
      </c>
      <c r="AC281" s="283">
        <v>44531</v>
      </c>
      <c r="AD281" s="283">
        <v>44531</v>
      </c>
      <c r="AE281" s="283">
        <v>44539</v>
      </c>
      <c r="AF281" s="283"/>
      <c r="AG281" s="283"/>
      <c r="AH281" s="334"/>
      <c r="AI281" s="283">
        <f>IFERROR(IF(VLOOKUP(功能_33[[#This Row],[功能代號]],E:S,11,FALSE)=0,"",VLOOKUP(功能_33[[#This Row],[功能代號]],E:S,11,FALSE)),"")</f>
        <v>44533</v>
      </c>
      <c r="AJ281" s="283"/>
      <c r="AK281" s="283"/>
      <c r="AL281" s="276"/>
      <c r="AM281" s="283"/>
      <c r="AN281" s="292" t="s">
        <v>2675</v>
      </c>
      <c r="AO281" s="276" t="s">
        <v>2676</v>
      </c>
      <c r="AQ281" s="507" t="str">
        <f t="shared" si="30"/>
        <v>4-3</v>
      </c>
      <c r="AR281" s="509" t="str">
        <f t="shared" si="31"/>
        <v/>
      </c>
      <c r="AS281" s="511" t="str">
        <f t="shared" si="32"/>
        <v/>
      </c>
      <c r="AT281" s="513" t="str">
        <f t="shared" si="33"/>
        <v/>
      </c>
      <c r="AU281" s="515" t="str">
        <f t="shared" si="34"/>
        <v/>
      </c>
      <c r="AV281" s="517" t="str">
        <f t="shared" si="35"/>
        <v/>
      </c>
      <c r="AW281" s="589" t="str">
        <f>IFERROR(VLOOKUP(功能_33[[#This Row],[功能代號]],SIT_FT!D:D,1,FALSE),"")</f>
        <v>L4721</v>
      </c>
    </row>
    <row r="282" spans="1:49" ht="13.5" hidden="1" x14ac:dyDescent="0.3">
      <c r="A282" s="537">
        <v>44554</v>
      </c>
      <c r="C282" s="276" t="s">
        <v>80</v>
      </c>
      <c r="D282" s="276" t="s">
        <v>810</v>
      </c>
      <c r="E282" s="275" t="s">
        <v>826</v>
      </c>
      <c r="F282" s="276" t="s">
        <v>827</v>
      </c>
      <c r="G282" s="276"/>
      <c r="H282" s="275" t="s">
        <v>179</v>
      </c>
      <c r="I282" s="275" t="s">
        <v>2449</v>
      </c>
      <c r="J282" s="218" t="s">
        <v>2882</v>
      </c>
      <c r="K282" s="283">
        <v>44583</v>
      </c>
      <c r="L282" s="275"/>
      <c r="M282" s="283">
        <v>44490</v>
      </c>
      <c r="N282" s="283">
        <v>44490</v>
      </c>
      <c r="O282" s="283">
        <v>44533</v>
      </c>
      <c r="P282" s="275" t="s">
        <v>7</v>
      </c>
      <c r="Q282" s="275" t="s">
        <v>11</v>
      </c>
      <c r="V282" s="275"/>
      <c r="X282" s="275"/>
      <c r="Y282" s="275"/>
      <c r="Z282" s="276" t="str">
        <f>VLOOKUP(功能_33[[#This Row],[User]],SKL放款!A:G,7,FALSE)</f>
        <v>放款服務課</v>
      </c>
      <c r="AA282" s="283">
        <v>44533</v>
      </c>
      <c r="AB282" s="283" t="s">
        <v>119</v>
      </c>
      <c r="AC282" s="283">
        <v>44531</v>
      </c>
      <c r="AD282" s="283">
        <v>44531</v>
      </c>
      <c r="AE282" s="283">
        <v>44550</v>
      </c>
      <c r="AF282" s="283"/>
      <c r="AG282" s="283"/>
      <c r="AH282" s="334"/>
      <c r="AI282" s="283">
        <f>IFERROR(IF(VLOOKUP(功能_33[[#This Row],[功能代號]],E:S,11,FALSE)=0,"",VLOOKUP(功能_33[[#This Row],[功能代號]],E:S,11,FALSE)),"")</f>
        <v>44533</v>
      </c>
      <c r="AJ282" s="283"/>
      <c r="AK282" s="283"/>
      <c r="AL282" s="276"/>
      <c r="AM282" s="283"/>
      <c r="AN282" s="275" t="s">
        <v>2623</v>
      </c>
      <c r="AO282" s="275" t="s">
        <v>2623</v>
      </c>
      <c r="AQ282" s="507" t="str">
        <f t="shared" si="30"/>
        <v>4-3</v>
      </c>
      <c r="AR282" s="509" t="str">
        <f t="shared" si="31"/>
        <v/>
      </c>
      <c r="AS282" s="511" t="str">
        <f t="shared" si="32"/>
        <v/>
      </c>
      <c r="AT282" s="513" t="str">
        <f t="shared" si="33"/>
        <v/>
      </c>
      <c r="AU282" s="515" t="str">
        <f t="shared" si="34"/>
        <v/>
      </c>
      <c r="AV282" s="517" t="str">
        <f t="shared" si="35"/>
        <v/>
      </c>
      <c r="AW282" s="589" t="str">
        <f>IFERROR(VLOOKUP(功能_33[[#This Row],[功能代號]],SIT_FT!D:D,1,FALSE),"")</f>
        <v>L4030</v>
      </c>
    </row>
    <row r="283" spans="1:49" ht="13.5" hidden="1" x14ac:dyDescent="0.3">
      <c r="C283" s="276" t="s">
        <v>82</v>
      </c>
      <c r="D283" s="276" t="s">
        <v>2482</v>
      </c>
      <c r="E283" s="275" t="s">
        <v>583</v>
      </c>
      <c r="F283" s="276" t="s">
        <v>584</v>
      </c>
      <c r="G283" s="276"/>
      <c r="H283" s="275" t="s">
        <v>179</v>
      </c>
      <c r="I283" s="275" t="s">
        <v>300</v>
      </c>
      <c r="J283" s="218" t="s">
        <v>2875</v>
      </c>
      <c r="K283" s="283">
        <v>44565</v>
      </c>
      <c r="L283" s="283">
        <v>44565</v>
      </c>
      <c r="M283" s="283">
        <v>44516</v>
      </c>
      <c r="N283" s="283">
        <v>44467</v>
      </c>
      <c r="O283" s="283">
        <v>44467</v>
      </c>
      <c r="P283" s="275" t="s">
        <v>8</v>
      </c>
      <c r="Q283" s="275" t="s">
        <v>158</v>
      </c>
      <c r="V283" s="275"/>
      <c r="X283" s="275"/>
      <c r="Y283" s="275"/>
      <c r="Z283" s="276" t="str">
        <f>VLOOKUP(功能_33[[#This Row],[User]],SKL放款!A:G,7,FALSE)</f>
        <v>放款服務課</v>
      </c>
      <c r="AA283" s="283">
        <v>44533</v>
      </c>
      <c r="AB283" s="283" t="s">
        <v>181</v>
      </c>
      <c r="AC283" s="283">
        <v>44529</v>
      </c>
      <c r="AD283" s="283">
        <v>44529</v>
      </c>
      <c r="AE283" s="283">
        <v>44550</v>
      </c>
      <c r="AF283" s="283"/>
      <c r="AG283" s="283"/>
      <c r="AH283" s="334"/>
      <c r="AI283" s="283">
        <f>IFERROR(IF(VLOOKUP(功能_33[[#This Row],[功能代號]],E:S,11,FALSE)=0,"",VLOOKUP(功能_33[[#This Row],[功能代號]],E:S,11,FALSE)),"")</f>
        <v>44467</v>
      </c>
      <c r="AJ283" s="283"/>
      <c r="AK283" s="283"/>
      <c r="AL283" s="276"/>
      <c r="AM283" s="283"/>
      <c r="AN283" s="287" t="s">
        <v>585</v>
      </c>
      <c r="AO283" s="288" t="s">
        <v>586</v>
      </c>
      <c r="AQ283" s="507" t="str">
        <f t="shared" si="30"/>
        <v>6-6</v>
      </c>
      <c r="AR283" s="509" t="str">
        <f t="shared" si="31"/>
        <v/>
      </c>
      <c r="AS283" s="511" t="str">
        <f t="shared" si="32"/>
        <v/>
      </c>
      <c r="AT283" s="513" t="str">
        <f t="shared" si="33"/>
        <v/>
      </c>
      <c r="AU283" s="515" t="str">
        <f t="shared" si="34"/>
        <v/>
      </c>
      <c r="AV283" s="517" t="str">
        <f t="shared" si="35"/>
        <v/>
      </c>
      <c r="AW283" s="589" t="str">
        <f>IFERROR(VLOOKUP(功能_33[[#This Row],[功能代號]],SIT_FT!D:D,1,FALSE),"")</f>
        <v>L6066</v>
      </c>
    </row>
    <row r="284" spans="1:49" ht="13.5" hidden="1" x14ac:dyDescent="0.3">
      <c r="C284" s="276" t="s">
        <v>82</v>
      </c>
      <c r="D284" s="276" t="s">
        <v>2482</v>
      </c>
      <c r="E284" s="275" t="s">
        <v>558</v>
      </c>
      <c r="F284" s="276" t="s">
        <v>559</v>
      </c>
      <c r="G284" s="276"/>
      <c r="H284" s="275" t="s">
        <v>179</v>
      </c>
      <c r="I284" s="275" t="s">
        <v>300</v>
      </c>
      <c r="J284" s="218" t="s">
        <v>2875</v>
      </c>
      <c r="K284" s="283">
        <v>44566</v>
      </c>
      <c r="L284" s="283">
        <v>44566</v>
      </c>
      <c r="M284" s="283">
        <v>44516</v>
      </c>
      <c r="N284" s="283">
        <v>44467</v>
      </c>
      <c r="O284" s="283">
        <v>44467</v>
      </c>
      <c r="P284" s="275" t="s">
        <v>8</v>
      </c>
      <c r="Q284" s="275" t="s">
        <v>553</v>
      </c>
      <c r="V284" s="275"/>
      <c r="X284" s="275"/>
      <c r="Y284" s="275"/>
      <c r="Z284" s="276" t="str">
        <f>VLOOKUP(功能_33[[#This Row],[User]],SKL放款!A:G,7,FALSE)</f>
        <v>放款審查課</v>
      </c>
      <c r="AA284" s="283">
        <v>44533</v>
      </c>
      <c r="AB284" s="283" t="s">
        <v>181</v>
      </c>
      <c r="AC284" s="283">
        <v>44467</v>
      </c>
      <c r="AD284" s="283">
        <v>44467</v>
      </c>
      <c r="AE284" s="283">
        <v>44550</v>
      </c>
      <c r="AF284" s="283"/>
      <c r="AG284" s="283"/>
      <c r="AH284" s="334"/>
      <c r="AI284" s="283">
        <f>IFERROR(IF(VLOOKUP(功能_33[[#This Row],[功能代號]],E:S,11,FALSE)=0,"",VLOOKUP(功能_33[[#This Row],[功能代號]],E:S,11,FALSE)),"")</f>
        <v>44467</v>
      </c>
      <c r="AJ284" s="283"/>
      <c r="AK284" s="283"/>
      <c r="AL284" s="276"/>
      <c r="AM284" s="283"/>
      <c r="AN284" s="287" t="s">
        <v>560</v>
      </c>
      <c r="AO284" s="288" t="s">
        <v>561</v>
      </c>
      <c r="AQ284" s="507" t="str">
        <f t="shared" si="30"/>
        <v>6-6</v>
      </c>
      <c r="AR284" s="509" t="str">
        <f t="shared" si="31"/>
        <v/>
      </c>
      <c r="AS284" s="511" t="str">
        <f t="shared" si="32"/>
        <v/>
      </c>
      <c r="AT284" s="513" t="str">
        <f t="shared" si="33"/>
        <v/>
      </c>
      <c r="AU284" s="515" t="str">
        <f t="shared" si="34"/>
        <v/>
      </c>
      <c r="AV284" s="517" t="str">
        <f t="shared" si="35"/>
        <v/>
      </c>
      <c r="AW284" s="589" t="str">
        <f>IFERROR(VLOOKUP(功能_33[[#This Row],[功能代號]],SIT_FT!D:D,1,FALSE),"")</f>
        <v>L6067</v>
      </c>
    </row>
    <row r="285" spans="1:49" ht="13.5" hidden="1" x14ac:dyDescent="0.3">
      <c r="C285" s="276" t="s">
        <v>82</v>
      </c>
      <c r="D285" s="431" t="s">
        <v>2482</v>
      </c>
      <c r="E285" s="275" t="s">
        <v>1092</v>
      </c>
      <c r="F285" s="258" t="s">
        <v>1093</v>
      </c>
      <c r="G285" s="276"/>
      <c r="H285" s="275" t="s">
        <v>179</v>
      </c>
      <c r="I285" s="275" t="s">
        <v>300</v>
      </c>
      <c r="J285" s="218" t="s">
        <v>2875</v>
      </c>
      <c r="K285" s="283">
        <v>44566</v>
      </c>
      <c r="L285" s="283">
        <v>44566</v>
      </c>
      <c r="M285" s="283">
        <v>44529</v>
      </c>
      <c r="N285" s="283">
        <v>44533</v>
      </c>
      <c r="O285" s="283">
        <v>44537</v>
      </c>
      <c r="P285" s="275" t="s">
        <v>12</v>
      </c>
      <c r="Q285" s="275" t="s">
        <v>11</v>
      </c>
      <c r="V285" s="275"/>
      <c r="X285" s="275"/>
      <c r="Y285" s="275"/>
      <c r="Z285" s="276" t="str">
        <f>VLOOKUP(功能_33[[#This Row],[User]],SKL放款!A:G,7,FALSE)</f>
        <v>放款服務課</v>
      </c>
      <c r="AA285" s="283">
        <v>44533</v>
      </c>
      <c r="AB285" s="283" t="s">
        <v>2574</v>
      </c>
      <c r="AC285" s="283"/>
      <c r="AD285" s="283">
        <v>44533</v>
      </c>
      <c r="AE285" s="283">
        <v>44550</v>
      </c>
      <c r="AF285" s="283"/>
      <c r="AG285" s="283"/>
      <c r="AH285" s="334"/>
      <c r="AI285" s="283">
        <f>IFERROR(IF(VLOOKUP(功能_33[[#This Row],[功能代號]],E:S,11,FALSE)=0,"",VLOOKUP(功能_33[[#This Row],[功能代號]],E:S,11,FALSE)),"")</f>
        <v>44537</v>
      </c>
      <c r="AJ285" s="283"/>
      <c r="AK285" s="283"/>
      <c r="AL285" s="276"/>
      <c r="AM285" s="283"/>
      <c r="AN285" s="275" t="s">
        <v>176</v>
      </c>
      <c r="AQ285" s="507" t="str">
        <f t="shared" si="30"/>
        <v>6-6</v>
      </c>
      <c r="AR285" s="509" t="str">
        <f t="shared" si="31"/>
        <v/>
      </c>
      <c r="AS285" s="511" t="str">
        <f t="shared" si="32"/>
        <v/>
      </c>
      <c r="AT285" s="513" t="str">
        <f t="shared" si="33"/>
        <v/>
      </c>
      <c r="AU285" s="515" t="str">
        <f t="shared" si="34"/>
        <v/>
      </c>
      <c r="AV285" s="517" t="str">
        <f t="shared" si="35"/>
        <v/>
      </c>
      <c r="AW285" s="589" t="str">
        <f>IFERROR(VLOOKUP(功能_33[[#This Row],[功能代號]],SIT_FT!D:D,1,FALSE),"")</f>
        <v>L6068</v>
      </c>
    </row>
    <row r="286" spans="1:49" ht="13.5" hidden="1" x14ac:dyDescent="0.3">
      <c r="C286" s="276" t="s">
        <v>82</v>
      </c>
      <c r="D286" s="276" t="s">
        <v>2482</v>
      </c>
      <c r="E286" s="275" t="s">
        <v>540</v>
      </c>
      <c r="F286" s="276" t="s">
        <v>541</v>
      </c>
      <c r="G286" s="276"/>
      <c r="H286" s="275" t="s">
        <v>179</v>
      </c>
      <c r="I286" s="275" t="s">
        <v>300</v>
      </c>
      <c r="J286" s="218" t="s">
        <v>2875</v>
      </c>
      <c r="K286" s="283">
        <v>44565</v>
      </c>
      <c r="L286" s="283">
        <v>44565</v>
      </c>
      <c r="M286" s="283">
        <v>44515</v>
      </c>
      <c r="N286" s="283">
        <v>44466</v>
      </c>
      <c r="O286" s="283">
        <v>44466</v>
      </c>
      <c r="P286" s="275" t="s">
        <v>12</v>
      </c>
      <c r="Q286" s="275" t="s">
        <v>11</v>
      </c>
      <c r="V286" s="275"/>
      <c r="X286" s="275"/>
      <c r="Y286" s="275"/>
      <c r="Z286" s="276" t="str">
        <f>VLOOKUP(功能_33[[#This Row],[User]],SKL放款!A:G,7,FALSE)</f>
        <v>放款服務課</v>
      </c>
      <c r="AA286" s="283">
        <v>44533</v>
      </c>
      <c r="AB286" s="283" t="s">
        <v>181</v>
      </c>
      <c r="AC286" s="283">
        <v>44529</v>
      </c>
      <c r="AD286" s="283">
        <v>44529</v>
      </c>
      <c r="AE286" s="283">
        <v>44550</v>
      </c>
      <c r="AF286" s="283"/>
      <c r="AG286" s="283"/>
      <c r="AH286" s="334"/>
      <c r="AI286" s="283">
        <f>IFERROR(IF(VLOOKUP(功能_33[[#This Row],[功能代號]],E:S,11,FALSE)=0,"",VLOOKUP(功能_33[[#This Row],[功能代號]],E:S,11,FALSE)),"")</f>
        <v>44466</v>
      </c>
      <c r="AJ286" s="283"/>
      <c r="AK286" s="283"/>
      <c r="AL286" s="276"/>
      <c r="AM286" s="283"/>
      <c r="AN286" s="287" t="s">
        <v>538</v>
      </c>
      <c r="AO286" s="288" t="s">
        <v>539</v>
      </c>
      <c r="AQ286" s="507" t="str">
        <f t="shared" si="30"/>
        <v>6-6</v>
      </c>
      <c r="AR286" s="509" t="str">
        <f t="shared" si="31"/>
        <v/>
      </c>
      <c r="AS286" s="511" t="str">
        <f t="shared" si="32"/>
        <v/>
      </c>
      <c r="AT286" s="513" t="str">
        <f t="shared" si="33"/>
        <v/>
      </c>
      <c r="AU286" s="515" t="str">
        <f t="shared" si="34"/>
        <v/>
      </c>
      <c r="AV286" s="517" t="str">
        <f t="shared" si="35"/>
        <v/>
      </c>
      <c r="AW286" s="589" t="str">
        <f>IFERROR(VLOOKUP(功能_33[[#This Row],[功能代號]],SIT_FT!D:D,1,FALSE),"")</f>
        <v>L6601</v>
      </c>
    </row>
    <row r="287" spans="1:49" ht="13.5" hidden="1" x14ac:dyDescent="0.3">
      <c r="C287" s="276" t="s">
        <v>78</v>
      </c>
      <c r="D287" s="276" t="s">
        <v>2506</v>
      </c>
      <c r="E287" s="275" t="s">
        <v>836</v>
      </c>
      <c r="F287" s="276" t="s">
        <v>837</v>
      </c>
      <c r="G287" s="276" t="s">
        <v>660</v>
      </c>
      <c r="H287" s="275" t="s">
        <v>179</v>
      </c>
      <c r="I287" s="275" t="s">
        <v>189</v>
      </c>
      <c r="J287" s="218" t="s">
        <v>2603</v>
      </c>
      <c r="K287" s="283">
        <v>44566</v>
      </c>
      <c r="L287" s="283">
        <v>44566</v>
      </c>
      <c r="M287" s="283">
        <v>44494</v>
      </c>
      <c r="N287" s="283">
        <v>44494</v>
      </c>
      <c r="O287" s="283">
        <v>44536</v>
      </c>
      <c r="P287" s="275" t="s">
        <v>12</v>
      </c>
      <c r="Q287" s="275" t="s">
        <v>14</v>
      </c>
      <c r="R287" s="258" t="s">
        <v>838</v>
      </c>
      <c r="V287" s="275"/>
      <c r="X287" s="275"/>
      <c r="Y287" s="275"/>
      <c r="AA287" s="283">
        <v>44533</v>
      </c>
      <c r="AB287" s="283" t="s">
        <v>181</v>
      </c>
      <c r="AC287" s="283">
        <v>44477</v>
      </c>
      <c r="AD287" s="283">
        <v>44477</v>
      </c>
      <c r="AE287" s="283">
        <v>44539</v>
      </c>
      <c r="AF287" s="283" t="s">
        <v>182</v>
      </c>
      <c r="AG287" s="283"/>
      <c r="AH287" s="334"/>
      <c r="AI287" s="283">
        <f>IFERROR(IF(VLOOKUP(功能_33[[#This Row],[功能代號]],E:S,11,FALSE)=0,"",VLOOKUP(功能_33[[#This Row],[功能代號]],E:S,11,FALSE)),"")</f>
        <v>44536</v>
      </c>
      <c r="AJ287" s="283"/>
      <c r="AK287" s="283"/>
      <c r="AL287" s="276"/>
      <c r="AN287" s="275">
        <v>227</v>
      </c>
      <c r="AO287" s="276" t="s">
        <v>839</v>
      </c>
      <c r="AQ287" s="507" t="str">
        <f t="shared" si="30"/>
        <v>2-3</v>
      </c>
      <c r="AR287" s="509" t="str">
        <f t="shared" si="31"/>
        <v/>
      </c>
      <c r="AS287" s="511" t="str">
        <f t="shared" si="32"/>
        <v/>
      </c>
      <c r="AT287" s="513" t="str">
        <f t="shared" si="33"/>
        <v/>
      </c>
      <c r="AU287" s="515" t="str">
        <f t="shared" si="34"/>
        <v/>
      </c>
      <c r="AV287" s="517" t="str">
        <f t="shared" si="35"/>
        <v/>
      </c>
      <c r="AW287" s="589" t="str">
        <f>IFERROR(VLOOKUP(功能_33[[#This Row],[功能代號]],SIT_FT!D:D,1,FALSE),"")</f>
        <v>L2036</v>
      </c>
    </row>
    <row r="288" spans="1:49" ht="13.5" hidden="1" x14ac:dyDescent="0.3">
      <c r="C288" s="276" t="s">
        <v>78</v>
      </c>
      <c r="D288" s="276" t="s">
        <v>2506</v>
      </c>
      <c r="E288" s="275" t="s">
        <v>840</v>
      </c>
      <c r="F288" s="212" t="s">
        <v>841</v>
      </c>
      <c r="G288" s="276" t="s">
        <v>842</v>
      </c>
      <c r="H288" s="275" t="s">
        <v>179</v>
      </c>
      <c r="I288" s="275" t="s">
        <v>189</v>
      </c>
      <c r="J288" s="218" t="s">
        <v>2603</v>
      </c>
      <c r="K288" s="283">
        <v>44566</v>
      </c>
      <c r="L288" s="283">
        <v>44566</v>
      </c>
      <c r="M288" s="283">
        <v>44494</v>
      </c>
      <c r="N288" s="283">
        <v>44494</v>
      </c>
      <c r="O288" s="283">
        <v>44536</v>
      </c>
      <c r="P288" s="275" t="s">
        <v>12</v>
      </c>
      <c r="Q288" s="275" t="s">
        <v>14</v>
      </c>
      <c r="R288" s="258" t="s">
        <v>838</v>
      </c>
      <c r="V288" s="275"/>
      <c r="X288" s="275"/>
      <c r="Y288" s="275"/>
      <c r="Z288" s="276" t="str">
        <f>VLOOKUP(功能_33[[#This Row],[User]],SKL放款!A:G,7,FALSE)</f>
        <v>放款管理課</v>
      </c>
      <c r="AA288" s="283">
        <v>44533</v>
      </c>
      <c r="AB288" s="283">
        <v>44470</v>
      </c>
      <c r="AC288" s="283">
        <f>IF(功能_33[[#This Row],[URS交二審]]=0,"",功能_33[[#This Row],[URS交二審]]+7)</f>
        <v>44477</v>
      </c>
      <c r="AD288" s="283">
        <f>IF(功能_33[[#This Row],[URS交二審]]=0,"",功能_33[[#This Row],[URS交二審]]+7)</f>
        <v>44477</v>
      </c>
      <c r="AE288" s="283">
        <v>44539</v>
      </c>
      <c r="AF288" s="283" t="s">
        <v>182</v>
      </c>
      <c r="AG288" s="283"/>
      <c r="AH288" s="334"/>
      <c r="AI288" s="283">
        <f>IFERROR(IF(VLOOKUP(功能_33[[#This Row],[功能代號]],E:S,11,FALSE)=0,"",VLOOKUP(功能_33[[#This Row],[功能代號]],E:S,11,FALSE)),"")</f>
        <v>44536</v>
      </c>
      <c r="AJ288" s="283"/>
      <c r="AK288" s="283"/>
      <c r="AL288" s="276"/>
      <c r="AN288" s="275">
        <v>227</v>
      </c>
      <c r="AO288" s="276" t="s">
        <v>843</v>
      </c>
      <c r="AQ288" s="507" t="str">
        <f t="shared" si="30"/>
        <v>2-3</v>
      </c>
      <c r="AR288" s="509" t="str">
        <f t="shared" si="31"/>
        <v/>
      </c>
      <c r="AS288" s="511" t="str">
        <f t="shared" si="32"/>
        <v/>
      </c>
      <c r="AT288" s="513" t="str">
        <f t="shared" si="33"/>
        <v/>
      </c>
      <c r="AU288" s="515" t="str">
        <f t="shared" si="34"/>
        <v/>
      </c>
      <c r="AV288" s="517" t="str">
        <f t="shared" si="35"/>
        <v/>
      </c>
      <c r="AW288" s="589" t="str">
        <f>IFERROR(VLOOKUP(功能_33[[#This Row],[功能代號]],SIT_FT!D:D,1,FALSE),"")</f>
        <v>L2035</v>
      </c>
    </row>
    <row r="289" spans="1:49" ht="13.5" hidden="1" x14ac:dyDescent="0.3">
      <c r="C289" s="276" t="s">
        <v>78</v>
      </c>
      <c r="D289" s="276" t="s">
        <v>2506</v>
      </c>
      <c r="E289" s="275" t="s">
        <v>844</v>
      </c>
      <c r="F289" s="276" t="s">
        <v>845</v>
      </c>
      <c r="G289" s="276" t="s">
        <v>660</v>
      </c>
      <c r="H289" s="275" t="s">
        <v>179</v>
      </c>
      <c r="I289" s="275" t="s">
        <v>189</v>
      </c>
      <c r="J289" s="218" t="s">
        <v>2603</v>
      </c>
      <c r="K289" s="283">
        <v>44566</v>
      </c>
      <c r="L289" s="283">
        <v>44566</v>
      </c>
      <c r="M289" s="283">
        <v>44494</v>
      </c>
      <c r="N289" s="283">
        <v>44494</v>
      </c>
      <c r="O289" s="283">
        <v>44536</v>
      </c>
      <c r="P289" s="275" t="s">
        <v>12</v>
      </c>
      <c r="Q289" s="275" t="s">
        <v>14</v>
      </c>
      <c r="R289" s="258" t="s">
        <v>838</v>
      </c>
      <c r="V289" s="275"/>
      <c r="X289" s="275"/>
      <c r="Y289" s="275"/>
      <c r="Z289" s="276" t="str">
        <f>VLOOKUP(功能_33[[#This Row],[User]],SKL放款!A:G,7,FALSE)</f>
        <v>放款管理課</v>
      </c>
      <c r="AA289" s="283">
        <v>44533</v>
      </c>
      <c r="AB289" s="283" t="s">
        <v>181</v>
      </c>
      <c r="AC289" s="283">
        <v>44477</v>
      </c>
      <c r="AD289" s="283">
        <v>44477</v>
      </c>
      <c r="AE289" s="283">
        <v>44539</v>
      </c>
      <c r="AF289" s="283" t="s">
        <v>182</v>
      </c>
      <c r="AG289" s="283"/>
      <c r="AH289" s="334"/>
      <c r="AI289" s="283">
        <f>IFERROR(IF(VLOOKUP(功能_33[[#This Row],[功能代號]],E:S,11,FALSE)=0,"",VLOOKUP(功能_33[[#This Row],[功能代號]],E:S,11,FALSE)),"")</f>
        <v>44536</v>
      </c>
      <c r="AJ289" s="283"/>
      <c r="AK289" s="283"/>
      <c r="AL289" s="276"/>
      <c r="AN289" s="275" t="s">
        <v>176</v>
      </c>
      <c r="AQ289" s="507" t="str">
        <f t="shared" si="30"/>
        <v>2-3</v>
      </c>
      <c r="AR289" s="509" t="str">
        <f t="shared" si="31"/>
        <v/>
      </c>
      <c r="AS289" s="511" t="str">
        <f t="shared" si="32"/>
        <v/>
      </c>
      <c r="AT289" s="513" t="str">
        <f t="shared" si="33"/>
        <v/>
      </c>
      <c r="AU289" s="515" t="str">
        <f t="shared" si="34"/>
        <v/>
      </c>
      <c r="AV289" s="517" t="str">
        <f t="shared" si="35"/>
        <v/>
      </c>
      <c r="AW289" s="589" t="str">
        <f>IFERROR(VLOOKUP(功能_33[[#This Row],[功能代號]],SIT_FT!D:D,1,FALSE),"")</f>
        <v>L2305</v>
      </c>
    </row>
    <row r="290" spans="1:49" ht="13.5" hidden="1" x14ac:dyDescent="0.3">
      <c r="C290" s="276" t="s">
        <v>78</v>
      </c>
      <c r="D290" s="276" t="s">
        <v>2506</v>
      </c>
      <c r="E290" s="275" t="s">
        <v>846</v>
      </c>
      <c r="F290" s="276" t="s">
        <v>847</v>
      </c>
      <c r="G290" s="276" t="s">
        <v>848</v>
      </c>
      <c r="H290" s="275" t="s">
        <v>179</v>
      </c>
      <c r="I290" s="275" t="s">
        <v>189</v>
      </c>
      <c r="J290" s="218" t="s">
        <v>2603</v>
      </c>
      <c r="K290" s="283">
        <v>44566</v>
      </c>
      <c r="L290" s="283">
        <v>44566</v>
      </c>
      <c r="M290" s="283">
        <v>44494</v>
      </c>
      <c r="N290" s="283">
        <v>44494</v>
      </c>
      <c r="O290" s="283">
        <v>44536</v>
      </c>
      <c r="P290" s="275" t="s">
        <v>12</v>
      </c>
      <c r="Q290" s="275" t="s">
        <v>14</v>
      </c>
      <c r="R290" s="258" t="s">
        <v>838</v>
      </c>
      <c r="V290" s="275"/>
      <c r="X290" s="275"/>
      <c r="Y290" s="275"/>
      <c r="Z290" s="276" t="str">
        <f>VLOOKUP(功能_33[[#This Row],[User]],SKL放款!A:G,7,FALSE)</f>
        <v>放款管理課</v>
      </c>
      <c r="AA290" s="283">
        <v>44533</v>
      </c>
      <c r="AB290" s="283">
        <v>44470</v>
      </c>
      <c r="AC290" s="283">
        <f>IF(功能_33[[#This Row],[URS交二審]]=0,"",功能_33[[#This Row],[URS交二審]]+7)</f>
        <v>44477</v>
      </c>
      <c r="AD290" s="283">
        <f>IF(功能_33[[#This Row],[URS交二審]]=0,"",功能_33[[#This Row],[URS交二審]]+7)</f>
        <v>44477</v>
      </c>
      <c r="AE290" s="283">
        <v>44539</v>
      </c>
      <c r="AF290" s="283" t="s">
        <v>182</v>
      </c>
      <c r="AG290" s="283"/>
      <c r="AH290" s="334"/>
      <c r="AI290" s="283">
        <f>IFERROR(IF(VLOOKUP(功能_33[[#This Row],[功能代號]],E:S,11,FALSE)=0,"",VLOOKUP(功能_33[[#This Row],[功能代號]],E:S,11,FALSE)),"")</f>
        <v>44536</v>
      </c>
      <c r="AJ290" s="283"/>
      <c r="AK290" s="283"/>
      <c r="AL290" s="276"/>
      <c r="AN290" s="275">
        <v>227</v>
      </c>
      <c r="AO290" s="276" t="s">
        <v>849</v>
      </c>
      <c r="AQ290" s="507" t="str">
        <f t="shared" si="30"/>
        <v>2-3</v>
      </c>
      <c r="AR290" s="509" t="str">
        <f t="shared" si="31"/>
        <v/>
      </c>
      <c r="AS290" s="511" t="str">
        <f t="shared" si="32"/>
        <v/>
      </c>
      <c r="AT290" s="513" t="str">
        <f t="shared" si="33"/>
        <v/>
      </c>
      <c r="AU290" s="515" t="str">
        <f t="shared" si="34"/>
        <v/>
      </c>
      <c r="AV290" s="517" t="str">
        <f t="shared" si="35"/>
        <v/>
      </c>
      <c r="AW290" s="589" t="str">
        <f>IFERROR(VLOOKUP(功能_33[[#This Row],[功能代號]],SIT_FT!D:D,1,FALSE),"")</f>
        <v>L2306</v>
      </c>
    </row>
    <row r="291" spans="1:49" ht="13.5" hidden="1" x14ac:dyDescent="0.3">
      <c r="C291" s="276" t="s">
        <v>78</v>
      </c>
      <c r="D291" s="276" t="s">
        <v>2511</v>
      </c>
      <c r="E291" s="275" t="s">
        <v>850</v>
      </c>
      <c r="F291" s="276" t="s">
        <v>851</v>
      </c>
      <c r="G291" s="276" t="s">
        <v>660</v>
      </c>
      <c r="H291" s="275" t="s">
        <v>122</v>
      </c>
      <c r="I291" s="275" t="s">
        <v>189</v>
      </c>
      <c r="J291" s="218" t="s">
        <v>2775</v>
      </c>
      <c r="K291" s="283">
        <v>44571</v>
      </c>
      <c r="L291" s="283">
        <v>44568</v>
      </c>
      <c r="M291" s="283">
        <v>44494</v>
      </c>
      <c r="N291" s="283">
        <v>44494</v>
      </c>
      <c r="O291" s="283">
        <v>44536</v>
      </c>
      <c r="P291" s="275" t="s">
        <v>12</v>
      </c>
      <c r="Q291" s="275" t="s">
        <v>14</v>
      </c>
      <c r="R291" s="258" t="s">
        <v>838</v>
      </c>
      <c r="V291" s="275"/>
      <c r="X291" s="275"/>
      <c r="Y291" s="275"/>
      <c r="Z291" s="276" t="str">
        <f>VLOOKUP(功能_33[[#This Row],[User]],SKL放款!A:G,7,FALSE)</f>
        <v>放款管理課</v>
      </c>
      <c r="AA291" s="283">
        <v>44533</v>
      </c>
      <c r="AB291" s="283" t="s">
        <v>181</v>
      </c>
      <c r="AC291" s="283">
        <v>44543</v>
      </c>
      <c r="AD291" s="283">
        <v>44543</v>
      </c>
      <c r="AE291" s="283">
        <v>44544</v>
      </c>
      <c r="AF291" s="283" t="s">
        <v>182</v>
      </c>
      <c r="AG291" s="283"/>
      <c r="AH291" s="334"/>
      <c r="AI291" s="283">
        <f>IFERROR(IF(VLOOKUP(功能_33[[#This Row],[功能代號]],E:S,11,FALSE)=0,"",VLOOKUP(功能_33[[#This Row],[功能代號]],E:S,11,FALSE)),"")</f>
        <v>44536</v>
      </c>
      <c r="AJ291" s="283"/>
      <c r="AK291" s="283"/>
      <c r="AL291" s="276"/>
      <c r="AN291" s="275" t="s">
        <v>176</v>
      </c>
      <c r="AQ291" s="507" t="str">
        <f t="shared" si="30"/>
        <v>2-2</v>
      </c>
      <c r="AR291" s="509" t="str">
        <f t="shared" si="31"/>
        <v/>
      </c>
      <c r="AS291" s="511" t="str">
        <f t="shared" si="32"/>
        <v/>
      </c>
      <c r="AT291" s="513" t="str">
        <f t="shared" si="33"/>
        <v/>
      </c>
      <c r="AU291" s="515" t="str">
        <f t="shared" si="34"/>
        <v/>
      </c>
      <c r="AV291" s="517" t="str">
        <f t="shared" si="35"/>
        <v/>
      </c>
      <c r="AW291" s="589" t="str">
        <f>IFERROR(VLOOKUP(功能_33[[#This Row],[功能代號]],SIT_FT!D:D,1,FALSE),"")</f>
        <v>L2022</v>
      </c>
    </row>
    <row r="292" spans="1:49" ht="13.5" hidden="1" x14ac:dyDescent="0.3">
      <c r="C292" s="276" t="s">
        <v>78</v>
      </c>
      <c r="D292" s="276" t="s">
        <v>2511</v>
      </c>
      <c r="E292" s="275" t="s">
        <v>852</v>
      </c>
      <c r="F292" s="276" t="s">
        <v>853</v>
      </c>
      <c r="G292" s="276" t="s">
        <v>854</v>
      </c>
      <c r="H292" s="275" t="s">
        <v>122</v>
      </c>
      <c r="I292" s="275" t="s">
        <v>189</v>
      </c>
      <c r="J292" s="218" t="s">
        <v>2775</v>
      </c>
      <c r="K292" s="283">
        <v>44571</v>
      </c>
      <c r="L292" s="283">
        <v>44568</v>
      </c>
      <c r="M292" s="283">
        <v>44494</v>
      </c>
      <c r="N292" s="283">
        <v>44494</v>
      </c>
      <c r="O292" s="283">
        <v>44536</v>
      </c>
      <c r="P292" s="275" t="s">
        <v>12</v>
      </c>
      <c r="Q292" s="275" t="s">
        <v>14</v>
      </c>
      <c r="R292" s="258" t="s">
        <v>838</v>
      </c>
      <c r="V292" s="275"/>
      <c r="X292" s="275"/>
      <c r="Y292" s="275"/>
      <c r="Z292" s="276" t="str">
        <f>VLOOKUP(功能_33[[#This Row],[User]],SKL放款!A:G,7,FALSE)</f>
        <v>放款管理課</v>
      </c>
      <c r="AA292" s="283">
        <v>44536</v>
      </c>
      <c r="AB292" s="283" t="s">
        <v>119</v>
      </c>
      <c r="AC292" s="283">
        <v>44543</v>
      </c>
      <c r="AD292" s="283">
        <v>44543</v>
      </c>
      <c r="AE292" s="283">
        <v>44544</v>
      </c>
      <c r="AF292" s="283"/>
      <c r="AG292" s="283"/>
      <c r="AH292" s="334"/>
      <c r="AI292" s="283">
        <f>IFERROR(IF(VLOOKUP(功能_33[[#This Row],[功能代號]],E:S,11,FALSE)=0,"",VLOOKUP(功能_33[[#This Row],[功能代號]],E:S,11,FALSE)),"")</f>
        <v>44536</v>
      </c>
      <c r="AJ292" s="283"/>
      <c r="AK292" s="283"/>
      <c r="AL292" s="276"/>
      <c r="AN292" s="275" t="s">
        <v>176</v>
      </c>
      <c r="AQ292" s="507" t="str">
        <f t="shared" si="30"/>
        <v>2-2</v>
      </c>
      <c r="AR292" s="509" t="str">
        <f t="shared" si="31"/>
        <v/>
      </c>
      <c r="AS292" s="511" t="str">
        <f t="shared" si="32"/>
        <v/>
      </c>
      <c r="AT292" s="513" t="str">
        <f t="shared" si="33"/>
        <v/>
      </c>
      <c r="AU292" s="515" t="str">
        <f t="shared" si="34"/>
        <v/>
      </c>
      <c r="AV292" s="517" t="str">
        <f t="shared" si="35"/>
        <v/>
      </c>
      <c r="AW292" s="589" t="str">
        <f>IFERROR(VLOOKUP(功能_33[[#This Row],[功能代號]],SIT_FT!D:D,1,FALSE),"")</f>
        <v>L2023</v>
      </c>
    </row>
    <row r="293" spans="1:49" ht="13.5" hidden="1" x14ac:dyDescent="0.3">
      <c r="C293" s="276" t="s">
        <v>78</v>
      </c>
      <c r="D293" s="276" t="s">
        <v>2511</v>
      </c>
      <c r="E293" s="275" t="s">
        <v>855</v>
      </c>
      <c r="F293" s="212" t="s">
        <v>856</v>
      </c>
      <c r="G293" s="276" t="s">
        <v>660</v>
      </c>
      <c r="H293" s="275" t="s">
        <v>122</v>
      </c>
      <c r="I293" s="275" t="s">
        <v>189</v>
      </c>
      <c r="J293" s="218" t="s">
        <v>2775</v>
      </c>
      <c r="K293" s="283">
        <v>44571</v>
      </c>
      <c r="L293" s="283">
        <v>44568</v>
      </c>
      <c r="M293" s="283">
        <v>44494</v>
      </c>
      <c r="N293" s="283">
        <v>44494</v>
      </c>
      <c r="O293" s="283">
        <v>44536</v>
      </c>
      <c r="P293" s="275" t="s">
        <v>12</v>
      </c>
      <c r="Q293" s="275" t="s">
        <v>13</v>
      </c>
      <c r="R293" s="258" t="s">
        <v>857</v>
      </c>
      <c r="V293" s="275"/>
      <c r="X293" s="275"/>
      <c r="Y293" s="275"/>
      <c r="Z293" s="276" t="str">
        <f>VLOOKUP(功能_33[[#This Row],[User]],SKL放款!A:G,7,FALSE)</f>
        <v>放款推展課</v>
      </c>
      <c r="AA293" s="283">
        <v>44533</v>
      </c>
      <c r="AB293" s="283">
        <v>44533</v>
      </c>
      <c r="AC293" s="283">
        <v>44543</v>
      </c>
      <c r="AD293" s="283">
        <v>44543</v>
      </c>
      <c r="AE293" s="283">
        <v>44544</v>
      </c>
      <c r="AF293" s="283"/>
      <c r="AG293" s="283"/>
      <c r="AH293" s="334"/>
      <c r="AI293" s="283">
        <f>IFERROR(IF(VLOOKUP(功能_33[[#This Row],[功能代號]],E:S,11,FALSE)=0,"",VLOOKUP(功能_33[[#This Row],[功能代號]],E:S,11,FALSE)),"")</f>
        <v>44536</v>
      </c>
      <c r="AJ293" s="283"/>
      <c r="AK293" s="283"/>
      <c r="AL293" s="276"/>
      <c r="AN293" s="275" t="s">
        <v>176</v>
      </c>
      <c r="AQ293" s="507" t="str">
        <f t="shared" si="30"/>
        <v>2-2</v>
      </c>
      <c r="AR293" s="509" t="str">
        <f t="shared" si="31"/>
        <v/>
      </c>
      <c r="AS293" s="511" t="str">
        <f t="shared" si="32"/>
        <v/>
      </c>
      <c r="AT293" s="513" t="str">
        <f t="shared" si="33"/>
        <v/>
      </c>
      <c r="AU293" s="515" t="str">
        <f t="shared" si="34"/>
        <v/>
      </c>
      <c r="AV293" s="517" t="str">
        <f t="shared" si="35"/>
        <v/>
      </c>
      <c r="AW293" s="589" t="str">
        <f>IFERROR(VLOOKUP(功能_33[[#This Row],[功能代號]],SIT_FT!D:D,1,FALSE),"")</f>
        <v>L2222</v>
      </c>
    </row>
    <row r="294" spans="1:49" ht="13.5" hidden="1" x14ac:dyDescent="0.3">
      <c r="C294" s="276" t="s">
        <v>78</v>
      </c>
      <c r="D294" s="276" t="s">
        <v>2506</v>
      </c>
      <c r="E294" s="275" t="s">
        <v>858</v>
      </c>
      <c r="F294" s="276" t="s">
        <v>859</v>
      </c>
      <c r="G294" s="276"/>
      <c r="H294" s="275" t="s">
        <v>179</v>
      </c>
      <c r="I294" s="275" t="s">
        <v>189</v>
      </c>
      <c r="J294" s="218" t="s">
        <v>2603</v>
      </c>
      <c r="K294" s="283">
        <v>44566</v>
      </c>
      <c r="L294" s="283">
        <v>44565</v>
      </c>
      <c r="M294" s="283">
        <v>44494</v>
      </c>
      <c r="N294" s="283">
        <v>44494</v>
      </c>
      <c r="O294" s="283">
        <v>44536</v>
      </c>
      <c r="P294" s="275" t="s">
        <v>10</v>
      </c>
      <c r="Q294" s="275" t="s">
        <v>13</v>
      </c>
      <c r="V294" s="275"/>
      <c r="X294" s="275"/>
      <c r="Y294" s="275"/>
      <c r="Z294" s="276" t="str">
        <f>VLOOKUP(功能_33[[#This Row],[User]],SKL放款!A:G,7,FALSE)</f>
        <v>放款推展課</v>
      </c>
      <c r="AA294" s="283">
        <v>44533</v>
      </c>
      <c r="AB294" s="283">
        <v>44477</v>
      </c>
      <c r="AC294" s="283">
        <v>44477</v>
      </c>
      <c r="AD294" s="283">
        <v>44477</v>
      </c>
      <c r="AE294" s="283">
        <v>44539</v>
      </c>
      <c r="AF294" s="283" t="s">
        <v>182</v>
      </c>
      <c r="AG294" s="283"/>
      <c r="AH294" s="334"/>
      <c r="AI294" s="283">
        <f>IFERROR(IF(VLOOKUP(功能_33[[#This Row],[功能代號]],E:S,11,FALSE)=0,"",VLOOKUP(功能_33[[#This Row],[功能代號]],E:S,11,FALSE)),"")</f>
        <v>44536</v>
      </c>
      <c r="AJ294" s="283"/>
      <c r="AK294" s="283"/>
      <c r="AL294" s="276"/>
      <c r="AM294" s="283"/>
      <c r="AN294" s="275">
        <v>217</v>
      </c>
      <c r="AO294" s="276" t="s">
        <v>860</v>
      </c>
      <c r="AQ294" s="507" t="str">
        <f t="shared" si="30"/>
        <v>2-3</v>
      </c>
      <c r="AR294" s="509" t="str">
        <f t="shared" si="31"/>
        <v/>
      </c>
      <c r="AS294" s="511" t="str">
        <f t="shared" si="32"/>
        <v/>
      </c>
      <c r="AT294" s="513" t="str">
        <f t="shared" si="33"/>
        <v/>
      </c>
      <c r="AU294" s="515" t="str">
        <f t="shared" si="34"/>
        <v/>
      </c>
      <c r="AV294" s="517" t="str">
        <f t="shared" si="35"/>
        <v/>
      </c>
      <c r="AW294" s="589" t="str">
        <f>IFERROR(VLOOKUP(功能_33[[#This Row],[功能代號]],SIT_FT!D:D,1,FALSE),"")</f>
        <v>L2903</v>
      </c>
    </row>
    <row r="295" spans="1:49" ht="13.5" hidden="1" x14ac:dyDescent="0.3">
      <c r="C295" s="276" t="s">
        <v>78</v>
      </c>
      <c r="D295" s="387" t="s">
        <v>2497</v>
      </c>
      <c r="E295" s="275" t="s">
        <v>861</v>
      </c>
      <c r="F295" s="258" t="s">
        <v>862</v>
      </c>
      <c r="G295" s="258"/>
      <c r="H295" s="275" t="s">
        <v>179</v>
      </c>
      <c r="I295" s="275" t="s">
        <v>189</v>
      </c>
      <c r="J295" s="218" t="s">
        <v>2864</v>
      </c>
      <c r="K295" s="283">
        <v>44558</v>
      </c>
      <c r="L295" s="283">
        <v>44558</v>
      </c>
      <c r="M295" s="283">
        <v>44494</v>
      </c>
      <c r="N295" s="283">
        <v>44490</v>
      </c>
      <c r="O295" s="283">
        <f>IFERROR(IF(VLOOKUP(功能_33[[#This Row],[功能代號]],討論項目!A:H,8,FALSE)=0,"",VLOOKUP(功能_33[[#This Row],[功能代號]],討論項目!A:H,8,FALSE)),"")</f>
        <v>44490</v>
      </c>
      <c r="P295" s="275" t="s">
        <v>7</v>
      </c>
      <c r="Q295" s="275" t="s">
        <v>158</v>
      </c>
      <c r="V295" s="275"/>
      <c r="X295" s="275"/>
      <c r="Y295" s="275"/>
      <c r="Z295" s="276" t="str">
        <f>VLOOKUP(功能_33[[#This Row],[User]],SKL放款!A:G,7,FALSE)</f>
        <v>放款服務課</v>
      </c>
      <c r="AA295" s="283">
        <v>44533</v>
      </c>
      <c r="AB295" s="283" t="s">
        <v>119</v>
      </c>
      <c r="AC295" s="283">
        <v>44531</v>
      </c>
      <c r="AD295" s="283">
        <v>44531</v>
      </c>
      <c r="AE295" s="283">
        <v>44546</v>
      </c>
      <c r="AF295" s="283"/>
      <c r="AG295" s="283"/>
      <c r="AH295" s="334"/>
      <c r="AI295" s="283">
        <f>IFERROR(IF(VLOOKUP(功能_33[[#This Row],[功能代號]],E:S,11,FALSE)=0,"",VLOOKUP(功能_33[[#This Row],[功能代號]],E:S,11,FALSE)),"")</f>
        <v>44490</v>
      </c>
      <c r="AJ295" s="283"/>
      <c r="AK295" s="283"/>
      <c r="AL295" s="276"/>
      <c r="AM295" s="283"/>
      <c r="AN295" s="275" t="s">
        <v>176</v>
      </c>
      <c r="AQ295" s="507" t="str">
        <f t="shared" si="30"/>
        <v>2-9</v>
      </c>
      <c r="AR295" s="509" t="str">
        <f t="shared" si="31"/>
        <v/>
      </c>
      <c r="AS295" s="511" t="str">
        <f t="shared" si="32"/>
        <v/>
      </c>
      <c r="AT295" s="513" t="str">
        <f t="shared" si="33"/>
        <v/>
      </c>
      <c r="AU295" s="515" t="str">
        <f t="shared" si="34"/>
        <v/>
      </c>
      <c r="AV295" s="517" t="str">
        <f t="shared" si="35"/>
        <v/>
      </c>
      <c r="AW295" s="589" t="str">
        <f>IFERROR(VLOOKUP(功能_33[[#This Row],[功能代號]],SIT_FT!D:D,1,FALSE),"")</f>
        <v>L2980</v>
      </c>
    </row>
    <row r="296" spans="1:49" ht="13.5" hidden="1" x14ac:dyDescent="0.3">
      <c r="C296" s="276" t="s">
        <v>78</v>
      </c>
      <c r="D296" s="337" t="s">
        <v>2508</v>
      </c>
      <c r="E296" s="275" t="s">
        <v>863</v>
      </c>
      <c r="F296" s="276" t="s">
        <v>864</v>
      </c>
      <c r="G296" s="276"/>
      <c r="H296" s="275" t="s">
        <v>179</v>
      </c>
      <c r="I296" s="275" t="s">
        <v>189</v>
      </c>
      <c r="J296" s="218" t="s">
        <v>2864</v>
      </c>
      <c r="K296" s="283">
        <v>44558</v>
      </c>
      <c r="L296" s="283">
        <v>44558</v>
      </c>
      <c r="M296" s="283">
        <v>44494</v>
      </c>
      <c r="N296" s="283">
        <v>44494</v>
      </c>
      <c r="O296" s="283">
        <v>44536</v>
      </c>
      <c r="P296" s="275" t="s">
        <v>12</v>
      </c>
      <c r="Q296" s="275" t="s">
        <v>158</v>
      </c>
      <c r="V296" s="275"/>
      <c r="X296" s="275"/>
      <c r="Y296" s="275"/>
      <c r="Z296" s="276" t="str">
        <f>VLOOKUP(功能_33[[#This Row],[User]],SKL放款!A:G,7,FALSE)</f>
        <v>放款服務課</v>
      </c>
      <c r="AA296" s="283">
        <v>44533</v>
      </c>
      <c r="AB296" s="283" t="s">
        <v>181</v>
      </c>
      <c r="AC296" s="283">
        <v>44477</v>
      </c>
      <c r="AD296" s="283">
        <v>44477</v>
      </c>
      <c r="AE296" s="283">
        <v>44546</v>
      </c>
      <c r="AF296" s="283" t="s">
        <v>182</v>
      </c>
      <c r="AG296" s="283"/>
      <c r="AH296" s="334"/>
      <c r="AI296" s="283">
        <f>IFERROR(IF(VLOOKUP(功能_33[[#This Row],[功能代號]],E:S,11,FALSE)=0,"",VLOOKUP(功能_33[[#This Row],[功能代號]],E:S,11,FALSE)),"")</f>
        <v>44536</v>
      </c>
      <c r="AJ296" s="283"/>
      <c r="AK296" s="283"/>
      <c r="AL296" s="276"/>
      <c r="AM296" s="283"/>
      <c r="AN296" s="275">
        <v>210</v>
      </c>
      <c r="AO296" s="276" t="s">
        <v>865</v>
      </c>
      <c r="AQ296" s="507" t="str">
        <f t="shared" si="30"/>
        <v>2-9</v>
      </c>
      <c r="AR296" s="509" t="str">
        <f t="shared" si="31"/>
        <v/>
      </c>
      <c r="AS296" s="511" t="str">
        <f t="shared" si="32"/>
        <v/>
      </c>
      <c r="AT296" s="513" t="str">
        <f t="shared" si="33"/>
        <v/>
      </c>
      <c r="AU296" s="515" t="str">
        <f t="shared" si="34"/>
        <v/>
      </c>
      <c r="AV296" s="517" t="str">
        <f t="shared" si="35"/>
        <v/>
      </c>
      <c r="AW296" s="589" t="str">
        <f>IFERROR(VLOOKUP(功能_33[[#This Row],[功能代號]],SIT_FT!D:D,1,FALSE),"")</f>
        <v>L2073</v>
      </c>
    </row>
    <row r="297" spans="1:49" ht="13.5" hidden="1" x14ac:dyDescent="0.3">
      <c r="C297" s="276" t="s">
        <v>78</v>
      </c>
      <c r="D297" s="337" t="s">
        <v>2508</v>
      </c>
      <c r="E297" s="275" t="s">
        <v>866</v>
      </c>
      <c r="F297" s="276" t="s">
        <v>867</v>
      </c>
      <c r="G297" s="276"/>
      <c r="H297" s="275" t="s">
        <v>179</v>
      </c>
      <c r="I297" s="275" t="s">
        <v>189</v>
      </c>
      <c r="J297" s="218" t="s">
        <v>2864</v>
      </c>
      <c r="K297" s="283">
        <v>44558</v>
      </c>
      <c r="L297" s="283">
        <v>44558</v>
      </c>
      <c r="M297" s="283">
        <v>44494</v>
      </c>
      <c r="N297" s="283">
        <v>44494</v>
      </c>
      <c r="O297" s="283">
        <f>IFERROR(IF(VLOOKUP(功能_33[[#This Row],[功能代號]],討論項目!A:H,8,FALSE)=0,"",VLOOKUP(功能_33[[#This Row],[功能代號]],討論項目!A:H,8,FALSE)),"")</f>
        <v>44494</v>
      </c>
      <c r="P297" s="275" t="s">
        <v>12</v>
      </c>
      <c r="Q297" s="275" t="s">
        <v>158</v>
      </c>
      <c r="V297" s="275"/>
      <c r="X297" s="275"/>
      <c r="Y297" s="275"/>
      <c r="Z297" s="276" t="str">
        <f>VLOOKUP(功能_33[[#This Row],[User]],SKL放款!A:G,7,FALSE)</f>
        <v>放款服務課</v>
      </c>
      <c r="AA297" s="283">
        <v>44533</v>
      </c>
      <c r="AB297" s="283" t="s">
        <v>119</v>
      </c>
      <c r="AC297" s="283">
        <v>44529</v>
      </c>
      <c r="AD297" s="283">
        <v>44529</v>
      </c>
      <c r="AE297" s="283">
        <v>44546</v>
      </c>
      <c r="AF297" s="283"/>
      <c r="AG297" s="283"/>
      <c r="AH297" s="334"/>
      <c r="AI297" s="283">
        <f>IFERROR(IF(VLOOKUP(功能_33[[#This Row],[功能代號]],E:S,11,FALSE)=0,"",VLOOKUP(功能_33[[#This Row],[功能代號]],E:S,11,FALSE)),"")</f>
        <v>44494</v>
      </c>
      <c r="AJ297" s="283"/>
      <c r="AK297" s="283"/>
      <c r="AL297" s="276"/>
      <c r="AM297" s="283"/>
      <c r="AN297" s="275">
        <v>231</v>
      </c>
      <c r="AO297" s="276" t="s">
        <v>868</v>
      </c>
      <c r="AQ297" s="507" t="str">
        <f t="shared" si="30"/>
        <v>2-9</v>
      </c>
      <c r="AR297" s="509" t="str">
        <f t="shared" si="31"/>
        <v/>
      </c>
      <c r="AS297" s="511" t="str">
        <f t="shared" si="32"/>
        <v/>
      </c>
      <c r="AT297" s="513" t="str">
        <f t="shared" si="33"/>
        <v/>
      </c>
      <c r="AU297" s="515" t="str">
        <f t="shared" si="34"/>
        <v/>
      </c>
      <c r="AV297" s="517" t="str">
        <f t="shared" si="35"/>
        <v/>
      </c>
      <c r="AW297" s="589" t="str">
        <f>IFERROR(VLOOKUP(功能_33[[#This Row],[功能代號]],SIT_FT!D:D,1,FALSE),"")</f>
        <v>L2703</v>
      </c>
    </row>
    <row r="298" spans="1:49" ht="13.5" hidden="1" x14ac:dyDescent="0.3">
      <c r="C298" s="276" t="s">
        <v>78</v>
      </c>
      <c r="D298" s="276" t="s">
        <v>2496</v>
      </c>
      <c r="E298" s="275" t="s">
        <v>869</v>
      </c>
      <c r="F298" s="276" t="s">
        <v>870</v>
      </c>
      <c r="G298" s="276"/>
      <c r="H298" s="275" t="s">
        <v>179</v>
      </c>
      <c r="I298" s="275" t="s">
        <v>189</v>
      </c>
      <c r="J298" s="218" t="s">
        <v>2775</v>
      </c>
      <c r="K298" s="283">
        <v>44558</v>
      </c>
      <c r="L298" s="283">
        <v>44558</v>
      </c>
      <c r="M298" s="283">
        <v>44494</v>
      </c>
      <c r="N298" s="283">
        <v>44494</v>
      </c>
      <c r="O298" s="283">
        <f>IFERROR(IF(VLOOKUP(功能_33[[#This Row],[功能代號]],討論項目!A:H,8,FALSE)=0,"",VLOOKUP(功能_33[[#This Row],[功能代號]],討論項目!A:H,8,FALSE)),"")</f>
        <v>44494</v>
      </c>
      <c r="P298" s="275" t="s">
        <v>10</v>
      </c>
      <c r="Q298" s="275" t="s">
        <v>25</v>
      </c>
      <c r="R298" s="258" t="s">
        <v>857</v>
      </c>
      <c r="V298" s="275"/>
      <c r="X298" s="275"/>
      <c r="Y298" s="275"/>
      <c r="Z298" s="276" t="str">
        <f>VLOOKUP(功能_33[[#This Row],[User]],SKL放款!A:G,7,FALSE)</f>
        <v>放款管理課</v>
      </c>
      <c r="AA298" s="283">
        <v>44533</v>
      </c>
      <c r="AB298" s="283" t="s">
        <v>119</v>
      </c>
      <c r="AC298" s="283">
        <v>44525</v>
      </c>
      <c r="AD298" s="283">
        <v>44525</v>
      </c>
      <c r="AE298" s="283">
        <v>44544</v>
      </c>
      <c r="AF298" s="283"/>
      <c r="AG298" s="283"/>
      <c r="AH298" s="334"/>
      <c r="AI298" s="283">
        <f>IFERROR(IF(VLOOKUP(功能_33[[#This Row],[功能代號]],E:S,11,FALSE)=0,"",VLOOKUP(功能_33[[#This Row],[功能代號]],E:S,11,FALSE)),"")</f>
        <v>44494</v>
      </c>
      <c r="AJ298" s="283"/>
      <c r="AK298" s="283"/>
      <c r="AL298" s="276"/>
      <c r="AM298" s="283"/>
      <c r="AN298" s="275" t="s">
        <v>176</v>
      </c>
      <c r="AQ298" s="507" t="str">
        <f t="shared" si="30"/>
        <v>2-4</v>
      </c>
      <c r="AR298" s="509" t="str">
        <f t="shared" si="31"/>
        <v/>
      </c>
      <c r="AS298" s="511" t="str">
        <f t="shared" si="32"/>
        <v/>
      </c>
      <c r="AT298" s="513" t="str">
        <f t="shared" si="33"/>
        <v/>
      </c>
      <c r="AU298" s="515" t="str">
        <f t="shared" si="34"/>
        <v/>
      </c>
      <c r="AV298" s="517" t="str">
        <f t="shared" si="35"/>
        <v/>
      </c>
      <c r="AW298" s="589" t="str">
        <f>IFERROR(VLOOKUP(功能_33[[#This Row],[功能代號]],SIT_FT!D:D,1,FALSE),"")</f>
        <v>L2039</v>
      </c>
    </row>
    <row r="299" spans="1:49" ht="13.5" hidden="1" x14ac:dyDescent="0.3">
      <c r="A299" s="561"/>
      <c r="B299" s="374"/>
      <c r="C299" s="276" t="s">
        <v>78</v>
      </c>
      <c r="D299" s="276" t="s">
        <v>2496</v>
      </c>
      <c r="E299" s="275" t="s">
        <v>2823</v>
      </c>
      <c r="F299" s="577" t="s">
        <v>2824</v>
      </c>
      <c r="G299" s="276"/>
      <c r="H299" s="275" t="s">
        <v>179</v>
      </c>
      <c r="I299" s="275" t="s">
        <v>189</v>
      </c>
      <c r="J299" s="218" t="s">
        <v>2864</v>
      </c>
      <c r="K299" s="283">
        <v>44199</v>
      </c>
      <c r="L299" s="283">
        <v>44199</v>
      </c>
      <c r="M299" s="283">
        <v>44494</v>
      </c>
      <c r="N299" s="283">
        <v>44517</v>
      </c>
      <c r="O299" s="283">
        <v>44517</v>
      </c>
      <c r="P299" s="275" t="s">
        <v>10</v>
      </c>
      <c r="Q299" s="275" t="s">
        <v>24</v>
      </c>
      <c r="V299" s="275"/>
      <c r="X299" s="275"/>
      <c r="Y299" s="275"/>
      <c r="Z299" s="276" t="str">
        <f>VLOOKUP(功能_33[[#This Row],[User]],SKL放款!A:G,7,FALSE)</f>
        <v>放款服務課</v>
      </c>
      <c r="AA299" s="283">
        <v>44533</v>
      </c>
      <c r="AB299" s="283" t="s">
        <v>181</v>
      </c>
      <c r="AC299" s="283">
        <v>44517</v>
      </c>
      <c r="AD299" s="283">
        <v>44517</v>
      </c>
      <c r="AE299" s="283">
        <v>44546</v>
      </c>
      <c r="AF299" s="283"/>
      <c r="AG299" s="283"/>
      <c r="AH299" s="334"/>
      <c r="AI299" s="283">
        <f>IFERROR(IF(VLOOKUP(功能_33[[#This Row],[功能代號]],E:S,11,FALSE)=0,"",VLOOKUP(功能_33[[#This Row],[功能代號]],E:S,11,FALSE)),"")</f>
        <v>44517</v>
      </c>
      <c r="AJ299" s="283"/>
      <c r="AK299" s="283"/>
      <c r="AL299" s="276"/>
      <c r="AM299" s="283"/>
      <c r="AN299" s="275" t="s">
        <v>176</v>
      </c>
      <c r="AQ299" s="507" t="str">
        <f t="shared" si="30"/>
        <v>2-4</v>
      </c>
      <c r="AR299" s="509" t="str">
        <f t="shared" si="31"/>
        <v/>
      </c>
      <c r="AS299" s="511" t="str">
        <f t="shared" si="32"/>
        <v/>
      </c>
      <c r="AT299" s="513" t="str">
        <f t="shared" si="33"/>
        <v/>
      </c>
      <c r="AU299" s="515" t="str">
        <f t="shared" si="34"/>
        <v/>
      </c>
      <c r="AV299" s="517" t="str">
        <f t="shared" si="35"/>
        <v/>
      </c>
      <c r="AW299" s="589" t="str">
        <f>IFERROR(VLOOKUP(功能_33[[#This Row],[功能代號]],SIT_FT!D:D,1,FALSE),"")</f>
        <v>L2040</v>
      </c>
    </row>
    <row r="300" spans="1:49" ht="13.5" hidden="1" x14ac:dyDescent="0.3">
      <c r="C300" s="276" t="s">
        <v>78</v>
      </c>
      <c r="D300" s="276" t="s">
        <v>2496</v>
      </c>
      <c r="E300" s="275" t="s">
        <v>871</v>
      </c>
      <c r="F300" s="276" t="s">
        <v>872</v>
      </c>
      <c r="G300" s="276"/>
      <c r="H300" s="275" t="s">
        <v>179</v>
      </c>
      <c r="I300" s="275" t="s">
        <v>189</v>
      </c>
      <c r="J300" s="218" t="s">
        <v>2775</v>
      </c>
      <c r="K300" s="283">
        <v>44558</v>
      </c>
      <c r="L300" s="283">
        <v>44558</v>
      </c>
      <c r="M300" s="283">
        <v>44494</v>
      </c>
      <c r="N300" s="283">
        <v>44494</v>
      </c>
      <c r="O300" s="283">
        <f>IFERROR(IF(VLOOKUP(功能_33[[#This Row],[功能代號]],討論項目!A:H,8,FALSE)=0,"",VLOOKUP(功能_33[[#This Row],[功能代號]],討論項目!A:H,8,FALSE)),"")</f>
        <v>44494</v>
      </c>
      <c r="P300" s="275" t="s">
        <v>10</v>
      </c>
      <c r="Q300" s="275" t="s">
        <v>25</v>
      </c>
      <c r="R300" s="258" t="s">
        <v>857</v>
      </c>
      <c r="V300" s="275"/>
      <c r="X300" s="275"/>
      <c r="Y300" s="275"/>
      <c r="Z300" s="276" t="str">
        <f>VLOOKUP(功能_33[[#This Row],[User]],SKL放款!A:G,7,FALSE)</f>
        <v>放款管理課</v>
      </c>
      <c r="AA300" s="283">
        <v>44533</v>
      </c>
      <c r="AB300" s="283" t="s">
        <v>119</v>
      </c>
      <c r="AC300" s="283">
        <v>44525</v>
      </c>
      <c r="AD300" s="283">
        <v>44525</v>
      </c>
      <c r="AE300" s="283">
        <v>44544</v>
      </c>
      <c r="AF300" s="283"/>
      <c r="AG300" s="283"/>
      <c r="AH300" s="334"/>
      <c r="AI300" s="283">
        <f>IFERROR(IF(VLOOKUP(功能_33[[#This Row],[功能代號]],E:S,11,FALSE)=0,"",VLOOKUP(功能_33[[#This Row],[功能代號]],E:S,11,FALSE)),"")</f>
        <v>44494</v>
      </c>
      <c r="AJ300" s="283"/>
      <c r="AK300" s="283"/>
      <c r="AL300" s="276"/>
      <c r="AM300" s="283"/>
      <c r="AN300" s="275" t="s">
        <v>176</v>
      </c>
      <c r="AQ300" s="507" t="str">
        <f t="shared" si="30"/>
        <v>2-4</v>
      </c>
      <c r="AR300" s="509" t="str">
        <f t="shared" si="31"/>
        <v/>
      </c>
      <c r="AS300" s="511" t="str">
        <f t="shared" si="32"/>
        <v/>
      </c>
      <c r="AT300" s="513" t="str">
        <f t="shared" si="33"/>
        <v/>
      </c>
      <c r="AU300" s="515" t="str">
        <f t="shared" si="34"/>
        <v/>
      </c>
      <c r="AV300" s="517" t="str">
        <f t="shared" si="35"/>
        <v/>
      </c>
      <c r="AW300" s="589" t="str">
        <f>IFERROR(VLOOKUP(功能_33[[#This Row],[功能代號]],SIT_FT!D:D,1,FALSE),"")</f>
        <v>L2480</v>
      </c>
    </row>
    <row r="301" spans="1:49" ht="13.5" hidden="1" x14ac:dyDescent="0.3">
      <c r="C301" s="276" t="s">
        <v>81</v>
      </c>
      <c r="D301" s="276" t="s">
        <v>2486</v>
      </c>
      <c r="E301" s="275" t="s">
        <v>873</v>
      </c>
      <c r="F301" s="276" t="s">
        <v>874</v>
      </c>
      <c r="G301" s="276"/>
      <c r="H301" s="275" t="s">
        <v>466</v>
      </c>
      <c r="I301" s="275" t="s">
        <v>466</v>
      </c>
      <c r="J301" s="218" t="s">
        <v>2703</v>
      </c>
      <c r="K301" s="283">
        <v>44571</v>
      </c>
      <c r="L301" s="275"/>
      <c r="M301" s="283">
        <v>44496</v>
      </c>
      <c r="N301" s="283">
        <v>44496</v>
      </c>
      <c r="O301" s="283">
        <v>44537</v>
      </c>
      <c r="P301" s="275" t="s">
        <v>7</v>
      </c>
      <c r="Q301" s="275" t="s">
        <v>14</v>
      </c>
      <c r="R301" s="258" t="s">
        <v>2604</v>
      </c>
      <c r="V301" s="275"/>
      <c r="X301" s="275"/>
      <c r="Y301" s="275"/>
      <c r="Z301" s="276" t="str">
        <f>VLOOKUP(功能_33[[#This Row],[User]],SKL放款!A:G,7,FALSE)</f>
        <v>放款管理課</v>
      </c>
      <c r="AA301" s="283">
        <v>44537</v>
      </c>
      <c r="AB301" s="283" t="s">
        <v>119</v>
      </c>
      <c r="AC301" s="283">
        <v>44539</v>
      </c>
      <c r="AD301" s="283">
        <v>44539</v>
      </c>
      <c r="AE301" s="283">
        <v>44539</v>
      </c>
      <c r="AF301" s="283"/>
      <c r="AG301" s="283"/>
      <c r="AH301" s="334"/>
      <c r="AI301" s="283">
        <f>IFERROR(IF(VLOOKUP(功能_33[[#This Row],[功能代號]],E:S,11,FALSE)=0,"",VLOOKUP(功能_33[[#This Row],[功能代號]],E:S,11,FALSE)),"")</f>
        <v>44537</v>
      </c>
      <c r="AJ301" s="283"/>
      <c r="AK301" s="283"/>
      <c r="AL301" s="276"/>
      <c r="AM301" s="215">
        <v>44488</v>
      </c>
      <c r="AN301" s="275" t="s">
        <v>2700</v>
      </c>
      <c r="AO301" s="276" t="s">
        <v>2701</v>
      </c>
      <c r="AQ301" s="507" t="str">
        <f t="shared" si="30"/>
        <v>5-4</v>
      </c>
      <c r="AR301" s="509" t="str">
        <f t="shared" si="31"/>
        <v/>
      </c>
      <c r="AS301" s="511" t="str">
        <f t="shared" si="32"/>
        <v/>
      </c>
      <c r="AT301" s="513" t="str">
        <f t="shared" si="33"/>
        <v/>
      </c>
      <c r="AU301" s="515" t="str">
        <f t="shared" si="34"/>
        <v/>
      </c>
      <c r="AV301" s="517" t="str">
        <f t="shared" si="35"/>
        <v/>
      </c>
      <c r="AW301" s="589" t="str">
        <f>IFERROR(VLOOKUP(功能_33[[#This Row],[功能代號]],SIT_FT!D:D,1,FALSE),"")</f>
        <v/>
      </c>
    </row>
    <row r="302" spans="1:49" ht="13.5" hidden="1" x14ac:dyDescent="0.3">
      <c r="C302" s="276" t="s">
        <v>81</v>
      </c>
      <c r="D302" s="276" t="s">
        <v>2486</v>
      </c>
      <c r="E302" s="275" t="s">
        <v>875</v>
      </c>
      <c r="F302" s="276" t="s">
        <v>876</v>
      </c>
      <c r="G302" s="276"/>
      <c r="H302" s="275" t="s">
        <v>466</v>
      </c>
      <c r="I302" s="275" t="s">
        <v>466</v>
      </c>
      <c r="J302" s="218" t="s">
        <v>2703</v>
      </c>
      <c r="K302" s="283">
        <v>44571</v>
      </c>
      <c r="L302" s="275"/>
      <c r="M302" s="283">
        <v>44496</v>
      </c>
      <c r="N302" s="283">
        <v>44496</v>
      </c>
      <c r="O302" s="283">
        <v>44496</v>
      </c>
      <c r="P302" s="275" t="s">
        <v>7</v>
      </c>
      <c r="Q302" s="275" t="s">
        <v>14</v>
      </c>
      <c r="R302" s="258" t="s">
        <v>2604</v>
      </c>
      <c r="V302" s="275"/>
      <c r="X302" s="275"/>
      <c r="Y302" s="275"/>
      <c r="Z302" s="276" t="str">
        <f>VLOOKUP(功能_33[[#This Row],[User]],SKL放款!A:G,7,FALSE)</f>
        <v>放款管理課</v>
      </c>
      <c r="AA302" s="283">
        <v>44496</v>
      </c>
      <c r="AB302" s="283" t="s">
        <v>181</v>
      </c>
      <c r="AC302" s="283">
        <v>44539</v>
      </c>
      <c r="AD302" s="283">
        <v>44539</v>
      </c>
      <c r="AE302" s="283">
        <v>44539</v>
      </c>
      <c r="AF302" s="283"/>
      <c r="AG302" s="283"/>
      <c r="AH302" s="334"/>
      <c r="AI302" s="283">
        <f>IFERROR(IF(VLOOKUP(功能_33[[#This Row],[功能代號]],E:S,11,FALSE)=0,"",VLOOKUP(功能_33[[#This Row],[功能代號]],E:S,11,FALSE)),"")</f>
        <v>44496</v>
      </c>
      <c r="AJ302" s="283"/>
      <c r="AK302" s="283"/>
      <c r="AL302" s="276"/>
      <c r="AM302" s="283"/>
      <c r="AN302" s="275" t="s">
        <v>2700</v>
      </c>
      <c r="AO302" s="276" t="s">
        <v>2701</v>
      </c>
      <c r="AQ302" s="507" t="str">
        <f t="shared" si="30"/>
        <v>5-4</v>
      </c>
      <c r="AR302" s="509" t="str">
        <f t="shared" si="31"/>
        <v/>
      </c>
      <c r="AS302" s="511" t="str">
        <f t="shared" si="32"/>
        <v/>
      </c>
      <c r="AT302" s="513" t="str">
        <f t="shared" si="33"/>
        <v/>
      </c>
      <c r="AU302" s="515" t="str">
        <f t="shared" si="34"/>
        <v/>
      </c>
      <c r="AV302" s="517" t="str">
        <f t="shared" si="35"/>
        <v/>
      </c>
      <c r="AW302" s="589" t="str">
        <f>IFERROR(VLOOKUP(功能_33[[#This Row],[功能代號]],SIT_FT!D:D,1,FALSE),"")</f>
        <v/>
      </c>
    </row>
    <row r="303" spans="1:49" ht="13.5" hidden="1" x14ac:dyDescent="0.3">
      <c r="C303" s="276" t="s">
        <v>81</v>
      </c>
      <c r="D303" s="276" t="s">
        <v>2486</v>
      </c>
      <c r="E303" s="275" t="s">
        <v>877</v>
      </c>
      <c r="F303" s="276" t="s">
        <v>878</v>
      </c>
      <c r="G303" s="276"/>
      <c r="H303" s="275" t="s">
        <v>466</v>
      </c>
      <c r="I303" s="275" t="s">
        <v>466</v>
      </c>
      <c r="J303" s="218" t="s">
        <v>2978</v>
      </c>
      <c r="K303" s="283">
        <v>44571</v>
      </c>
      <c r="L303" s="283">
        <v>44571</v>
      </c>
      <c r="M303" s="283">
        <v>44496</v>
      </c>
      <c r="N303" s="283">
        <v>44496</v>
      </c>
      <c r="O303" s="283">
        <v>44515</v>
      </c>
      <c r="P303" s="275" t="s">
        <v>7</v>
      </c>
      <c r="Q303" s="275" t="s">
        <v>14</v>
      </c>
      <c r="R303" s="258" t="s">
        <v>2604</v>
      </c>
      <c r="V303" s="275"/>
      <c r="X303" s="275"/>
      <c r="Y303" s="275"/>
      <c r="Z303" s="276" t="str">
        <f>VLOOKUP(功能_33[[#This Row],[User]],SKL放款!A:G,7,FALSE)</f>
        <v>放款管理課</v>
      </c>
      <c r="AA303" s="283">
        <v>44515</v>
      </c>
      <c r="AB303" s="283" t="s">
        <v>119</v>
      </c>
      <c r="AC303" s="283">
        <v>44539</v>
      </c>
      <c r="AD303" s="283">
        <v>44539</v>
      </c>
      <c r="AE303" s="215" t="s">
        <v>3001</v>
      </c>
      <c r="AF303" s="283"/>
      <c r="AG303" s="283"/>
      <c r="AH303" s="334"/>
      <c r="AI303" s="283">
        <f>IFERROR(IF(VLOOKUP(功能_33[[#This Row],[功能代號]],E:S,11,FALSE)=0,"",VLOOKUP(功能_33[[#This Row],[功能代號]],E:S,11,FALSE)),"")</f>
        <v>44515</v>
      </c>
      <c r="AJ303" s="283"/>
      <c r="AK303" s="283"/>
      <c r="AL303" s="276"/>
      <c r="AM303" s="283"/>
      <c r="AN303" s="275" t="s">
        <v>2700</v>
      </c>
      <c r="AO303" s="276" t="s">
        <v>2701</v>
      </c>
      <c r="AQ303" s="507" t="str">
        <f t="shared" si="30"/>
        <v>5-4</v>
      </c>
      <c r="AR303" s="509" t="str">
        <f t="shared" si="31"/>
        <v/>
      </c>
      <c r="AS303" s="511" t="str">
        <f t="shared" si="32"/>
        <v/>
      </c>
      <c r="AT303" s="513" t="str">
        <f t="shared" si="33"/>
        <v/>
      </c>
      <c r="AU303" s="515" t="str">
        <f t="shared" si="34"/>
        <v/>
      </c>
      <c r="AV303" s="517" t="str">
        <f t="shared" si="35"/>
        <v/>
      </c>
      <c r="AW303" s="589" t="str">
        <f>IFERROR(VLOOKUP(功能_33[[#This Row],[功能代號]],SIT_FT!D:D,1,FALSE),"")</f>
        <v/>
      </c>
    </row>
    <row r="304" spans="1:49" ht="13.5" hidden="1" x14ac:dyDescent="0.3">
      <c r="C304" s="276" t="s">
        <v>81</v>
      </c>
      <c r="D304" s="276" t="s">
        <v>2486</v>
      </c>
      <c r="E304" s="275" t="s">
        <v>879</v>
      </c>
      <c r="F304" s="276" t="s">
        <v>880</v>
      </c>
      <c r="G304" s="276"/>
      <c r="H304" s="275" t="s">
        <v>466</v>
      </c>
      <c r="I304" s="275" t="s">
        <v>466</v>
      </c>
      <c r="J304" s="218" t="s">
        <v>2703</v>
      </c>
      <c r="K304" s="283">
        <v>44571</v>
      </c>
      <c r="L304" s="275"/>
      <c r="M304" s="283">
        <v>44496</v>
      </c>
      <c r="N304" s="283">
        <v>44496</v>
      </c>
      <c r="O304" s="283">
        <v>44503</v>
      </c>
      <c r="P304" s="275" t="s">
        <v>7</v>
      </c>
      <c r="Q304" s="275" t="s">
        <v>14</v>
      </c>
      <c r="R304" s="258" t="s">
        <v>2604</v>
      </c>
      <c r="V304" s="275"/>
      <c r="X304" s="275"/>
      <c r="Y304" s="275"/>
      <c r="Z304" s="276" t="str">
        <f>VLOOKUP(功能_33[[#This Row],[User]],SKL放款!A:G,7,FALSE)</f>
        <v>放款管理課</v>
      </c>
      <c r="AA304" s="283">
        <v>44503</v>
      </c>
      <c r="AB304" s="283" t="s">
        <v>119</v>
      </c>
      <c r="AC304" s="283">
        <v>44539</v>
      </c>
      <c r="AD304" s="283">
        <v>44539</v>
      </c>
      <c r="AE304" s="283">
        <v>44539</v>
      </c>
      <c r="AF304" s="283"/>
      <c r="AG304" s="283"/>
      <c r="AH304" s="334"/>
      <c r="AI304" s="283">
        <f>IFERROR(IF(VLOOKUP(功能_33[[#This Row],[功能代號]],E:S,11,FALSE)=0,"",VLOOKUP(功能_33[[#This Row],[功能代號]],E:S,11,FALSE)),"")</f>
        <v>44503</v>
      </c>
      <c r="AJ304" s="283"/>
      <c r="AK304" s="283"/>
      <c r="AL304" s="276"/>
      <c r="AM304" s="283"/>
      <c r="AN304" s="275" t="s">
        <v>2700</v>
      </c>
      <c r="AO304" s="276" t="s">
        <v>2701</v>
      </c>
      <c r="AQ304" s="507" t="str">
        <f t="shared" si="30"/>
        <v>5-4</v>
      </c>
      <c r="AR304" s="509" t="str">
        <f t="shared" si="31"/>
        <v/>
      </c>
      <c r="AS304" s="511" t="str">
        <f t="shared" si="32"/>
        <v/>
      </c>
      <c r="AT304" s="513" t="str">
        <f t="shared" si="33"/>
        <v/>
      </c>
      <c r="AU304" s="515" t="str">
        <f t="shared" si="34"/>
        <v/>
      </c>
      <c r="AV304" s="517" t="str">
        <f t="shared" si="35"/>
        <v/>
      </c>
      <c r="AW304" s="589" t="str">
        <f>IFERROR(VLOOKUP(功能_33[[#This Row],[功能代號]],SIT_FT!D:D,1,FALSE),"")</f>
        <v/>
      </c>
    </row>
    <row r="305" spans="3:49" ht="13.5" hidden="1" x14ac:dyDescent="0.3">
      <c r="C305" s="276" t="s">
        <v>81</v>
      </c>
      <c r="D305" s="276" t="s">
        <v>2486</v>
      </c>
      <c r="E305" s="275" t="s">
        <v>881</v>
      </c>
      <c r="F305" s="276" t="s">
        <v>882</v>
      </c>
      <c r="G305" s="276"/>
      <c r="H305" s="275" t="s">
        <v>466</v>
      </c>
      <c r="I305" s="275" t="s">
        <v>466</v>
      </c>
      <c r="J305" s="218" t="s">
        <v>2978</v>
      </c>
      <c r="K305" s="283">
        <v>44571</v>
      </c>
      <c r="L305" s="275"/>
      <c r="M305" s="283">
        <v>44496</v>
      </c>
      <c r="N305" s="283">
        <v>44496</v>
      </c>
      <c r="O305" s="283">
        <v>44501</v>
      </c>
      <c r="P305" s="275" t="s">
        <v>7</v>
      </c>
      <c r="Q305" s="275" t="s">
        <v>14</v>
      </c>
      <c r="R305" s="258" t="s">
        <v>2604</v>
      </c>
      <c r="V305" s="275"/>
      <c r="X305" s="275"/>
      <c r="Y305" s="275"/>
      <c r="Z305" s="276" t="str">
        <f>VLOOKUP(功能_33[[#This Row],[User]],SKL放款!A:G,7,FALSE)</f>
        <v>放款管理課</v>
      </c>
      <c r="AA305" s="283">
        <v>44501</v>
      </c>
      <c r="AB305" s="283" t="s">
        <v>119</v>
      </c>
      <c r="AC305" s="283">
        <v>44539</v>
      </c>
      <c r="AD305" s="283">
        <v>44539</v>
      </c>
      <c r="AE305" s="215" t="s">
        <v>3001</v>
      </c>
      <c r="AF305" s="283"/>
      <c r="AG305" s="283"/>
      <c r="AH305" s="334"/>
      <c r="AI305" s="283">
        <f>IFERROR(IF(VLOOKUP(功能_33[[#This Row],[功能代號]],E:S,11,FALSE)=0,"",VLOOKUP(功能_33[[#This Row],[功能代號]],E:S,11,FALSE)),"")</f>
        <v>44501</v>
      </c>
      <c r="AJ305" s="283"/>
      <c r="AK305" s="283"/>
      <c r="AL305" s="276"/>
      <c r="AM305" s="283"/>
      <c r="AN305" s="275" t="s">
        <v>2700</v>
      </c>
      <c r="AO305" s="276" t="s">
        <v>2701</v>
      </c>
      <c r="AQ305" s="507" t="str">
        <f t="shared" si="30"/>
        <v>5-4</v>
      </c>
      <c r="AR305" s="509" t="str">
        <f t="shared" si="31"/>
        <v/>
      </c>
      <c r="AS305" s="511" t="str">
        <f t="shared" si="32"/>
        <v/>
      </c>
      <c r="AT305" s="513" t="str">
        <f t="shared" si="33"/>
        <v/>
      </c>
      <c r="AU305" s="515" t="str">
        <f t="shared" si="34"/>
        <v/>
      </c>
      <c r="AV305" s="517" t="str">
        <f t="shared" si="35"/>
        <v/>
      </c>
      <c r="AW305" s="589" t="str">
        <f>IFERROR(VLOOKUP(功能_33[[#This Row],[功能代號]],SIT_FT!D:D,1,FALSE),"")</f>
        <v/>
      </c>
    </row>
    <row r="306" spans="3:49" ht="13.5" hidden="1" x14ac:dyDescent="0.3">
      <c r="C306" s="276" t="s">
        <v>81</v>
      </c>
      <c r="D306" s="276" t="s">
        <v>2486</v>
      </c>
      <c r="E306" s="275" t="s">
        <v>883</v>
      </c>
      <c r="F306" s="276" t="s">
        <v>884</v>
      </c>
      <c r="G306" s="276"/>
      <c r="H306" s="275" t="s">
        <v>466</v>
      </c>
      <c r="I306" s="275" t="s">
        <v>466</v>
      </c>
      <c r="J306" s="218" t="s">
        <v>2968</v>
      </c>
      <c r="K306" s="283">
        <v>44571</v>
      </c>
      <c r="L306" s="275"/>
      <c r="M306" s="283">
        <v>44496</v>
      </c>
      <c r="N306" s="283">
        <v>44496</v>
      </c>
      <c r="O306" s="283">
        <v>44503</v>
      </c>
      <c r="P306" s="275" t="s">
        <v>7</v>
      </c>
      <c r="Q306" s="275" t="s">
        <v>14</v>
      </c>
      <c r="R306" s="258" t="s">
        <v>2604</v>
      </c>
      <c r="V306" s="275"/>
      <c r="X306" s="275"/>
      <c r="Y306" s="275"/>
      <c r="Z306" s="276" t="str">
        <f>VLOOKUP(功能_33[[#This Row],[User]],SKL放款!A:G,7,FALSE)</f>
        <v>放款管理課</v>
      </c>
      <c r="AA306" s="283">
        <v>44503</v>
      </c>
      <c r="AB306" s="283" t="s">
        <v>119</v>
      </c>
      <c r="AC306" s="283">
        <v>44539</v>
      </c>
      <c r="AD306" s="283">
        <v>44539</v>
      </c>
      <c r="AE306" s="283">
        <v>44539</v>
      </c>
      <c r="AF306" s="283"/>
      <c r="AG306" s="283"/>
      <c r="AH306" s="334"/>
      <c r="AI306" s="283">
        <f>IFERROR(IF(VLOOKUP(功能_33[[#This Row],[功能代號]],E:S,11,FALSE)=0,"",VLOOKUP(功能_33[[#This Row],[功能代號]],E:S,11,FALSE)),"")</f>
        <v>44503</v>
      </c>
      <c r="AJ306" s="283"/>
      <c r="AK306" s="283"/>
      <c r="AL306" s="276"/>
      <c r="AM306" s="283"/>
      <c r="AN306" s="275" t="s">
        <v>2700</v>
      </c>
      <c r="AO306" s="276" t="s">
        <v>2701</v>
      </c>
      <c r="AQ306" s="507" t="str">
        <f t="shared" si="30"/>
        <v>5-4</v>
      </c>
      <c r="AR306" s="509" t="str">
        <f t="shared" si="31"/>
        <v/>
      </c>
      <c r="AS306" s="511" t="str">
        <f t="shared" si="32"/>
        <v/>
      </c>
      <c r="AT306" s="513" t="str">
        <f t="shared" si="33"/>
        <v/>
      </c>
      <c r="AU306" s="515" t="str">
        <f t="shared" si="34"/>
        <v/>
      </c>
      <c r="AV306" s="517" t="str">
        <f t="shared" si="35"/>
        <v/>
      </c>
      <c r="AW306" s="589" t="str">
        <f>IFERROR(VLOOKUP(功能_33[[#This Row],[功能代號]],SIT_FT!D:D,1,FALSE),"")</f>
        <v/>
      </c>
    </row>
    <row r="307" spans="3:49" ht="13.5" hidden="1" x14ac:dyDescent="0.3">
      <c r="C307" s="276" t="s">
        <v>81</v>
      </c>
      <c r="D307" s="276" t="s">
        <v>2486</v>
      </c>
      <c r="E307" s="275" t="s">
        <v>885</v>
      </c>
      <c r="F307" s="276" t="s">
        <v>886</v>
      </c>
      <c r="G307" s="276"/>
      <c r="H307" s="275" t="s">
        <v>466</v>
      </c>
      <c r="I307" s="275" t="s">
        <v>466</v>
      </c>
      <c r="J307" s="218" t="s">
        <v>2978</v>
      </c>
      <c r="K307" s="283">
        <v>44571</v>
      </c>
      <c r="L307" s="275"/>
      <c r="M307" s="283">
        <v>44496</v>
      </c>
      <c r="N307" s="283">
        <v>44496</v>
      </c>
      <c r="O307" s="283">
        <v>44516</v>
      </c>
      <c r="P307" s="275" t="s">
        <v>7</v>
      </c>
      <c r="Q307" s="275" t="s">
        <v>14</v>
      </c>
      <c r="R307" s="258" t="s">
        <v>2604</v>
      </c>
      <c r="V307" s="275"/>
      <c r="X307" s="275"/>
      <c r="Y307" s="275"/>
      <c r="Z307" s="276" t="str">
        <f>VLOOKUP(功能_33[[#This Row],[User]],SKL放款!A:G,7,FALSE)</f>
        <v>放款管理課</v>
      </c>
      <c r="AA307" s="283">
        <v>44516</v>
      </c>
      <c r="AB307" s="283" t="s">
        <v>119</v>
      </c>
      <c r="AC307" s="283">
        <v>44539</v>
      </c>
      <c r="AD307" s="283">
        <v>44539</v>
      </c>
      <c r="AE307" s="215" t="s">
        <v>3001</v>
      </c>
      <c r="AF307" s="283"/>
      <c r="AG307" s="283"/>
      <c r="AH307" s="334"/>
      <c r="AI307" s="283">
        <f>IFERROR(IF(VLOOKUP(功能_33[[#This Row],[功能代號]],E:S,11,FALSE)=0,"",VLOOKUP(功能_33[[#This Row],[功能代號]],E:S,11,FALSE)),"")</f>
        <v>44516</v>
      </c>
      <c r="AJ307" s="283"/>
      <c r="AK307" s="283"/>
      <c r="AL307" s="276"/>
      <c r="AM307" s="283"/>
      <c r="AN307" s="275" t="s">
        <v>2700</v>
      </c>
      <c r="AO307" s="276" t="s">
        <v>2701</v>
      </c>
      <c r="AQ307" s="507" t="str">
        <f t="shared" si="30"/>
        <v>5-4</v>
      </c>
      <c r="AR307" s="509" t="str">
        <f t="shared" si="31"/>
        <v/>
      </c>
      <c r="AS307" s="511" t="str">
        <f t="shared" si="32"/>
        <v/>
      </c>
      <c r="AT307" s="513" t="str">
        <f t="shared" si="33"/>
        <v/>
      </c>
      <c r="AU307" s="515" t="str">
        <f t="shared" si="34"/>
        <v/>
      </c>
      <c r="AV307" s="517" t="str">
        <f t="shared" si="35"/>
        <v/>
      </c>
      <c r="AW307" s="589" t="str">
        <f>IFERROR(VLOOKUP(功能_33[[#This Row],[功能代號]],SIT_FT!D:D,1,FALSE),"")</f>
        <v/>
      </c>
    </row>
    <row r="308" spans="3:49" ht="13.5" hidden="1" x14ac:dyDescent="0.3">
      <c r="C308" s="276" t="s">
        <v>81</v>
      </c>
      <c r="D308" s="276" t="s">
        <v>2486</v>
      </c>
      <c r="E308" s="275" t="s">
        <v>887</v>
      </c>
      <c r="F308" s="276" t="s">
        <v>888</v>
      </c>
      <c r="G308" s="276"/>
      <c r="H308" s="275" t="s">
        <v>466</v>
      </c>
      <c r="I308" s="275" t="s">
        <v>466</v>
      </c>
      <c r="J308" s="218" t="s">
        <v>2978</v>
      </c>
      <c r="K308" s="283">
        <v>44571</v>
      </c>
      <c r="L308" s="275"/>
      <c r="M308" s="283">
        <v>44496</v>
      </c>
      <c r="N308" s="283">
        <v>44496</v>
      </c>
      <c r="O308" s="283">
        <v>44517</v>
      </c>
      <c r="P308" s="275" t="s">
        <v>7</v>
      </c>
      <c r="Q308" s="275" t="s">
        <v>14</v>
      </c>
      <c r="R308" s="258" t="s">
        <v>2604</v>
      </c>
      <c r="V308" s="275"/>
      <c r="X308" s="275"/>
      <c r="Y308" s="275"/>
      <c r="Z308" s="276" t="str">
        <f>VLOOKUP(功能_33[[#This Row],[User]],SKL放款!A:G,7,FALSE)</f>
        <v>放款管理課</v>
      </c>
      <c r="AA308" s="283">
        <v>44517</v>
      </c>
      <c r="AB308" s="283" t="s">
        <v>119</v>
      </c>
      <c r="AC308" s="283">
        <v>44539</v>
      </c>
      <c r="AD308" s="283">
        <v>44539</v>
      </c>
      <c r="AE308" s="215" t="s">
        <v>3001</v>
      </c>
      <c r="AF308" s="283"/>
      <c r="AG308" s="283"/>
      <c r="AH308" s="334"/>
      <c r="AI308" s="283">
        <f>IFERROR(IF(VLOOKUP(功能_33[[#This Row],[功能代號]],E:S,11,FALSE)=0,"",VLOOKUP(功能_33[[#This Row],[功能代號]],E:S,11,FALSE)),"")</f>
        <v>44517</v>
      </c>
      <c r="AJ308" s="283"/>
      <c r="AK308" s="283"/>
      <c r="AL308" s="276"/>
      <c r="AM308" s="283"/>
      <c r="AN308" s="275" t="s">
        <v>2700</v>
      </c>
      <c r="AO308" s="276" t="s">
        <v>2701</v>
      </c>
      <c r="AQ308" s="507" t="str">
        <f t="shared" si="30"/>
        <v>5-4</v>
      </c>
      <c r="AR308" s="509" t="str">
        <f t="shared" si="31"/>
        <v/>
      </c>
      <c r="AS308" s="511" t="str">
        <f t="shared" si="32"/>
        <v/>
      </c>
      <c r="AT308" s="513" t="str">
        <f t="shared" si="33"/>
        <v/>
      </c>
      <c r="AU308" s="515" t="str">
        <f t="shared" si="34"/>
        <v/>
      </c>
      <c r="AV308" s="517" t="str">
        <f t="shared" si="35"/>
        <v/>
      </c>
      <c r="AW308" s="589" t="str">
        <f>IFERROR(VLOOKUP(功能_33[[#This Row],[功能代號]],SIT_FT!D:D,1,FALSE),"")</f>
        <v/>
      </c>
    </row>
    <row r="309" spans="3:49" ht="13.5" hidden="1" x14ac:dyDescent="0.3">
      <c r="C309" s="276" t="s">
        <v>81</v>
      </c>
      <c r="D309" s="276" t="s">
        <v>2486</v>
      </c>
      <c r="E309" s="275" t="s">
        <v>889</v>
      </c>
      <c r="F309" s="276" t="s">
        <v>890</v>
      </c>
      <c r="G309" s="276"/>
      <c r="H309" s="275" t="s">
        <v>466</v>
      </c>
      <c r="I309" s="275" t="s">
        <v>466</v>
      </c>
      <c r="J309" s="218" t="s">
        <v>2978</v>
      </c>
      <c r="K309" s="283">
        <v>44578</v>
      </c>
      <c r="L309" s="275"/>
      <c r="M309" s="283">
        <v>44497</v>
      </c>
      <c r="N309" s="283">
        <v>44496</v>
      </c>
      <c r="O309" s="283">
        <v>44501</v>
      </c>
      <c r="P309" s="275" t="s">
        <v>7</v>
      </c>
      <c r="Q309" s="275" t="s">
        <v>14</v>
      </c>
      <c r="R309" s="258" t="s">
        <v>2604</v>
      </c>
      <c r="V309" s="275"/>
      <c r="X309" s="275"/>
      <c r="Y309" s="275"/>
      <c r="Z309" s="276" t="str">
        <f>VLOOKUP(功能_33[[#This Row],[User]],SKL放款!A:G,7,FALSE)</f>
        <v>放款管理課</v>
      </c>
      <c r="AA309" s="283">
        <v>44501</v>
      </c>
      <c r="AB309" s="283" t="s">
        <v>119</v>
      </c>
      <c r="AC309" s="283">
        <v>44539</v>
      </c>
      <c r="AD309" s="283">
        <v>44539</v>
      </c>
      <c r="AE309" s="215" t="s">
        <v>3001</v>
      </c>
      <c r="AF309" s="283"/>
      <c r="AG309" s="283"/>
      <c r="AH309" s="334"/>
      <c r="AI309" s="283">
        <f>IFERROR(IF(VLOOKUP(功能_33[[#This Row],[功能代號]],E:S,11,FALSE)=0,"",VLOOKUP(功能_33[[#This Row],[功能代號]],E:S,11,FALSE)),"")</f>
        <v>44501</v>
      </c>
      <c r="AJ309" s="283"/>
      <c r="AK309" s="283"/>
      <c r="AL309" s="276"/>
      <c r="AM309" s="283"/>
      <c r="AN309" s="275" t="s">
        <v>2700</v>
      </c>
      <c r="AO309" s="276" t="s">
        <v>2701</v>
      </c>
      <c r="AQ309" s="507" t="str">
        <f t="shared" si="30"/>
        <v>5-4</v>
      </c>
      <c r="AR309" s="509" t="str">
        <f t="shared" si="31"/>
        <v/>
      </c>
      <c r="AS309" s="511" t="str">
        <f t="shared" si="32"/>
        <v/>
      </c>
      <c r="AT309" s="513" t="str">
        <f t="shared" si="33"/>
        <v/>
      </c>
      <c r="AU309" s="515" t="str">
        <f t="shared" si="34"/>
        <v/>
      </c>
      <c r="AV309" s="517" t="str">
        <f t="shared" si="35"/>
        <v/>
      </c>
      <c r="AW309" s="589" t="str">
        <f>IFERROR(VLOOKUP(功能_33[[#This Row],[功能代號]],SIT_FT!D:D,1,FALSE),"")</f>
        <v/>
      </c>
    </row>
    <row r="310" spans="3:49" ht="13.5" hidden="1" x14ac:dyDescent="0.3">
      <c r="C310" s="276" t="s">
        <v>81</v>
      </c>
      <c r="D310" s="276" t="s">
        <v>2486</v>
      </c>
      <c r="E310" s="275" t="s">
        <v>891</v>
      </c>
      <c r="F310" s="276" t="s">
        <v>892</v>
      </c>
      <c r="G310" s="276"/>
      <c r="H310" s="275" t="s">
        <v>466</v>
      </c>
      <c r="I310" s="275" t="s">
        <v>466</v>
      </c>
      <c r="J310" s="218" t="s">
        <v>2978</v>
      </c>
      <c r="K310" s="283">
        <v>44578</v>
      </c>
      <c r="L310" s="275"/>
      <c r="M310" s="283">
        <v>44497</v>
      </c>
      <c r="N310" s="283">
        <v>44496</v>
      </c>
      <c r="O310" s="283">
        <v>44524</v>
      </c>
      <c r="P310" s="275" t="s">
        <v>7</v>
      </c>
      <c r="Q310" s="275" t="s">
        <v>14</v>
      </c>
      <c r="R310" s="258" t="s">
        <v>2604</v>
      </c>
      <c r="V310" s="275"/>
      <c r="X310" s="275"/>
      <c r="Y310" s="275"/>
      <c r="Z310" s="276" t="str">
        <f>VLOOKUP(功能_33[[#This Row],[User]],SKL放款!A:G,7,FALSE)</f>
        <v>放款管理課</v>
      </c>
      <c r="AA310" s="283">
        <v>44524</v>
      </c>
      <c r="AB310" s="283" t="s">
        <v>119</v>
      </c>
      <c r="AC310" s="283">
        <v>44539</v>
      </c>
      <c r="AD310" s="283">
        <v>44539</v>
      </c>
      <c r="AE310" s="215" t="s">
        <v>3001</v>
      </c>
      <c r="AF310" s="283"/>
      <c r="AG310" s="283"/>
      <c r="AH310" s="334"/>
      <c r="AI310" s="283">
        <f>IFERROR(IF(VLOOKUP(功能_33[[#This Row],[功能代號]],E:S,11,FALSE)=0,"",VLOOKUP(功能_33[[#This Row],[功能代號]],E:S,11,FALSE)),"")</f>
        <v>44524</v>
      </c>
      <c r="AJ310" s="283"/>
      <c r="AK310" s="283"/>
      <c r="AL310" s="276"/>
      <c r="AM310" s="283"/>
      <c r="AN310" s="275" t="s">
        <v>2700</v>
      </c>
      <c r="AO310" s="276" t="s">
        <v>2701</v>
      </c>
      <c r="AQ310" s="507" t="str">
        <f t="shared" si="30"/>
        <v>5-4</v>
      </c>
      <c r="AR310" s="509" t="str">
        <f t="shared" si="31"/>
        <v/>
      </c>
      <c r="AS310" s="511" t="str">
        <f t="shared" si="32"/>
        <v/>
      </c>
      <c r="AT310" s="513" t="str">
        <f t="shared" si="33"/>
        <v/>
      </c>
      <c r="AU310" s="515" t="str">
        <f t="shared" si="34"/>
        <v/>
      </c>
      <c r="AV310" s="517" t="str">
        <f t="shared" si="35"/>
        <v/>
      </c>
      <c r="AW310" s="589" t="str">
        <f>IFERROR(VLOOKUP(功能_33[[#This Row],[功能代號]],SIT_FT!D:D,1,FALSE),"")</f>
        <v/>
      </c>
    </row>
    <row r="311" spans="3:49" ht="13.5" hidden="1" x14ac:dyDescent="0.3">
      <c r="C311" s="276" t="s">
        <v>81</v>
      </c>
      <c r="D311" s="276" t="s">
        <v>2486</v>
      </c>
      <c r="E311" s="275" t="s">
        <v>893</v>
      </c>
      <c r="F311" s="276" t="s">
        <v>894</v>
      </c>
      <c r="G311" s="276"/>
      <c r="H311" s="275" t="s">
        <v>466</v>
      </c>
      <c r="I311" s="275" t="s">
        <v>466</v>
      </c>
      <c r="J311" s="218" t="s">
        <v>2978</v>
      </c>
      <c r="K311" s="283">
        <v>44578</v>
      </c>
      <c r="L311" s="275"/>
      <c r="M311" s="283">
        <v>44497</v>
      </c>
      <c r="N311" s="283">
        <v>44496</v>
      </c>
      <c r="O311" s="283">
        <v>44501</v>
      </c>
      <c r="P311" s="275" t="s">
        <v>7</v>
      </c>
      <c r="Q311" s="275" t="s">
        <v>14</v>
      </c>
      <c r="R311" s="258" t="s">
        <v>2604</v>
      </c>
      <c r="V311" s="275"/>
      <c r="X311" s="275"/>
      <c r="Y311" s="275"/>
      <c r="Z311" s="276" t="str">
        <f>VLOOKUP(功能_33[[#This Row],[User]],SKL放款!A:G,7,FALSE)</f>
        <v>放款管理課</v>
      </c>
      <c r="AA311" s="283">
        <v>44501</v>
      </c>
      <c r="AB311" s="283" t="s">
        <v>119</v>
      </c>
      <c r="AC311" s="283">
        <v>44539</v>
      </c>
      <c r="AD311" s="283">
        <v>44539</v>
      </c>
      <c r="AE311" s="215" t="s">
        <v>3001</v>
      </c>
      <c r="AF311" s="283"/>
      <c r="AG311" s="283"/>
      <c r="AH311" s="334"/>
      <c r="AI311" s="283">
        <f>IFERROR(IF(VLOOKUP(功能_33[[#This Row],[功能代號]],E:S,11,FALSE)=0,"",VLOOKUP(功能_33[[#This Row],[功能代號]],E:S,11,FALSE)),"")</f>
        <v>44501</v>
      </c>
      <c r="AJ311" s="283"/>
      <c r="AK311" s="283"/>
      <c r="AL311" s="276"/>
      <c r="AM311" s="283"/>
      <c r="AN311" s="275" t="s">
        <v>2700</v>
      </c>
      <c r="AO311" s="276" t="s">
        <v>2701</v>
      </c>
      <c r="AQ311" s="507" t="str">
        <f t="shared" si="30"/>
        <v>5-4</v>
      </c>
      <c r="AR311" s="509" t="str">
        <f t="shared" si="31"/>
        <v/>
      </c>
      <c r="AS311" s="511" t="str">
        <f t="shared" si="32"/>
        <v/>
      </c>
      <c r="AT311" s="513" t="str">
        <f t="shared" si="33"/>
        <v/>
      </c>
      <c r="AU311" s="515" t="str">
        <f t="shared" si="34"/>
        <v/>
      </c>
      <c r="AV311" s="517" t="str">
        <f t="shared" si="35"/>
        <v/>
      </c>
      <c r="AW311" s="589" t="str">
        <f>IFERROR(VLOOKUP(功能_33[[#This Row],[功能代號]],SIT_FT!D:D,1,FALSE),"")</f>
        <v/>
      </c>
    </row>
    <row r="312" spans="3:49" ht="13.5" hidden="1" x14ac:dyDescent="0.3">
      <c r="C312" s="276" t="s">
        <v>81</v>
      </c>
      <c r="D312" s="276" t="s">
        <v>2486</v>
      </c>
      <c r="E312" s="275" t="s">
        <v>895</v>
      </c>
      <c r="F312" s="276" t="s">
        <v>896</v>
      </c>
      <c r="G312" s="276"/>
      <c r="H312" s="275" t="s">
        <v>466</v>
      </c>
      <c r="I312" s="275" t="s">
        <v>466</v>
      </c>
      <c r="J312" s="218" t="s">
        <v>2703</v>
      </c>
      <c r="K312" s="283">
        <v>44578</v>
      </c>
      <c r="L312" s="275"/>
      <c r="M312" s="283">
        <v>44497</v>
      </c>
      <c r="N312" s="283">
        <v>44496</v>
      </c>
      <c r="O312" s="283">
        <v>44515</v>
      </c>
      <c r="P312" s="275" t="s">
        <v>7</v>
      </c>
      <c r="Q312" s="275" t="s">
        <v>14</v>
      </c>
      <c r="R312" s="258" t="s">
        <v>2604</v>
      </c>
      <c r="V312" s="275"/>
      <c r="X312" s="275"/>
      <c r="Y312" s="275"/>
      <c r="Z312" s="276" t="str">
        <f>VLOOKUP(功能_33[[#This Row],[User]],SKL放款!A:G,7,FALSE)</f>
        <v>放款管理課</v>
      </c>
      <c r="AA312" s="283">
        <v>44515</v>
      </c>
      <c r="AB312" s="283" t="s">
        <v>119</v>
      </c>
      <c r="AC312" s="283">
        <v>44539</v>
      </c>
      <c r="AD312" s="283">
        <v>44539</v>
      </c>
      <c r="AE312" s="283">
        <v>44539</v>
      </c>
      <c r="AF312" s="283"/>
      <c r="AG312" s="283"/>
      <c r="AH312" s="334"/>
      <c r="AI312" s="283">
        <f>IFERROR(IF(VLOOKUP(功能_33[[#This Row],[功能代號]],E:S,11,FALSE)=0,"",VLOOKUP(功能_33[[#This Row],[功能代號]],E:S,11,FALSE)),"")</f>
        <v>44515</v>
      </c>
      <c r="AJ312" s="283"/>
      <c r="AK312" s="283"/>
      <c r="AL312" s="276"/>
      <c r="AM312" s="283"/>
      <c r="AN312" s="275" t="s">
        <v>2700</v>
      </c>
      <c r="AO312" s="276" t="s">
        <v>2701</v>
      </c>
      <c r="AQ312" s="507" t="str">
        <f t="shared" si="30"/>
        <v>5-4</v>
      </c>
      <c r="AR312" s="509" t="str">
        <f t="shared" si="31"/>
        <v/>
      </c>
      <c r="AS312" s="511" t="str">
        <f t="shared" si="32"/>
        <v/>
      </c>
      <c r="AT312" s="513" t="str">
        <f t="shared" si="33"/>
        <v/>
      </c>
      <c r="AU312" s="515" t="str">
        <f t="shared" si="34"/>
        <v/>
      </c>
      <c r="AV312" s="517" t="str">
        <f t="shared" si="35"/>
        <v/>
      </c>
      <c r="AW312" s="589" t="str">
        <f>IFERROR(VLOOKUP(功能_33[[#This Row],[功能代號]],SIT_FT!D:D,1,FALSE),"")</f>
        <v/>
      </c>
    </row>
    <row r="313" spans="3:49" ht="13.5" hidden="1" x14ac:dyDescent="0.3">
      <c r="C313" s="276" t="s">
        <v>81</v>
      </c>
      <c r="D313" s="276" t="s">
        <v>2486</v>
      </c>
      <c r="E313" s="275" t="s">
        <v>897</v>
      </c>
      <c r="F313" s="276" t="s">
        <v>898</v>
      </c>
      <c r="G313" s="276"/>
      <c r="H313" s="275" t="s">
        <v>466</v>
      </c>
      <c r="I313" s="275" t="s">
        <v>466</v>
      </c>
      <c r="J313" s="218" t="s">
        <v>2703</v>
      </c>
      <c r="K313" s="283">
        <v>44578</v>
      </c>
      <c r="L313" s="275"/>
      <c r="M313" s="283">
        <v>44497</v>
      </c>
      <c r="N313" s="283">
        <v>44496</v>
      </c>
      <c r="O313" s="283">
        <v>44503</v>
      </c>
      <c r="P313" s="275" t="s">
        <v>7</v>
      </c>
      <c r="Q313" s="275" t="s">
        <v>14</v>
      </c>
      <c r="R313" s="258" t="s">
        <v>2604</v>
      </c>
      <c r="V313" s="275"/>
      <c r="X313" s="275"/>
      <c r="Y313" s="275"/>
      <c r="Z313" s="276" t="str">
        <f>VLOOKUP(功能_33[[#This Row],[User]],SKL放款!A:G,7,FALSE)</f>
        <v>放款管理課</v>
      </c>
      <c r="AA313" s="283">
        <v>44503</v>
      </c>
      <c r="AB313" s="283" t="s">
        <v>119</v>
      </c>
      <c r="AC313" s="283">
        <v>44539</v>
      </c>
      <c r="AD313" s="283">
        <v>44539</v>
      </c>
      <c r="AE313" s="283">
        <v>44539</v>
      </c>
      <c r="AF313" s="283"/>
      <c r="AG313" s="283"/>
      <c r="AH313" s="334"/>
      <c r="AI313" s="283">
        <f>IFERROR(IF(VLOOKUP(功能_33[[#This Row],[功能代號]],E:S,11,FALSE)=0,"",VLOOKUP(功能_33[[#This Row],[功能代號]],E:S,11,FALSE)),"")</f>
        <v>44503</v>
      </c>
      <c r="AJ313" s="283"/>
      <c r="AK313" s="283"/>
      <c r="AL313" s="276"/>
      <c r="AM313" s="283"/>
      <c r="AN313" s="275" t="s">
        <v>2700</v>
      </c>
      <c r="AO313" s="276" t="s">
        <v>2701</v>
      </c>
      <c r="AQ313" s="507" t="str">
        <f t="shared" si="30"/>
        <v>5-4</v>
      </c>
      <c r="AR313" s="509" t="str">
        <f t="shared" si="31"/>
        <v/>
      </c>
      <c r="AS313" s="511" t="str">
        <f t="shared" si="32"/>
        <v/>
      </c>
      <c r="AT313" s="513" t="str">
        <f t="shared" si="33"/>
        <v/>
      </c>
      <c r="AU313" s="515" t="str">
        <f t="shared" si="34"/>
        <v/>
      </c>
      <c r="AV313" s="517" t="str">
        <f t="shared" si="35"/>
        <v/>
      </c>
      <c r="AW313" s="589" t="str">
        <f>IFERROR(VLOOKUP(功能_33[[#This Row],[功能代號]],SIT_FT!D:D,1,FALSE),"")</f>
        <v/>
      </c>
    </row>
    <row r="314" spans="3:49" ht="13.5" hidden="1" x14ac:dyDescent="0.3">
      <c r="C314" s="276" t="s">
        <v>81</v>
      </c>
      <c r="D314" s="276" t="s">
        <v>2486</v>
      </c>
      <c r="E314" s="275" t="s">
        <v>899</v>
      </c>
      <c r="F314" s="276" t="s">
        <v>900</v>
      </c>
      <c r="G314" s="276" t="s">
        <v>901</v>
      </c>
      <c r="H314" s="275" t="s">
        <v>466</v>
      </c>
      <c r="I314" s="275" t="s">
        <v>466</v>
      </c>
      <c r="J314" s="218" t="s">
        <v>2703</v>
      </c>
      <c r="K314" s="283">
        <v>44578</v>
      </c>
      <c r="L314" s="275"/>
      <c r="M314" s="283">
        <v>44497</v>
      </c>
      <c r="N314" s="283">
        <v>44496</v>
      </c>
      <c r="O314" s="283">
        <v>44515</v>
      </c>
      <c r="P314" s="275" t="s">
        <v>7</v>
      </c>
      <c r="Q314" s="275" t="s">
        <v>14</v>
      </c>
      <c r="R314" s="258" t="s">
        <v>2604</v>
      </c>
      <c r="V314" s="275"/>
      <c r="X314" s="275"/>
      <c r="Y314" s="275"/>
      <c r="Z314" s="276" t="str">
        <f>VLOOKUP(功能_33[[#This Row],[User]],SKL放款!A:G,7,FALSE)</f>
        <v>放款管理課</v>
      </c>
      <c r="AA314" s="283">
        <v>44515</v>
      </c>
      <c r="AB314" s="283" t="s">
        <v>119</v>
      </c>
      <c r="AC314" s="283">
        <v>44539</v>
      </c>
      <c r="AD314" s="283">
        <v>44539</v>
      </c>
      <c r="AE314" s="283">
        <v>44539</v>
      </c>
      <c r="AF314" s="283"/>
      <c r="AG314" s="283"/>
      <c r="AH314" s="334"/>
      <c r="AI314" s="283">
        <f>IFERROR(IF(VLOOKUP(功能_33[[#This Row],[功能代號]],E:S,11,FALSE)=0,"",VLOOKUP(功能_33[[#This Row],[功能代號]],E:S,11,FALSE)),"")</f>
        <v>44515</v>
      </c>
      <c r="AJ314" s="283"/>
      <c r="AK314" s="283"/>
      <c r="AL314" s="276"/>
      <c r="AM314" s="283"/>
      <c r="AN314" s="275" t="s">
        <v>2700</v>
      </c>
      <c r="AO314" s="276" t="s">
        <v>2701</v>
      </c>
      <c r="AQ314" s="507" t="str">
        <f t="shared" si="30"/>
        <v>5-4</v>
      </c>
      <c r="AR314" s="509" t="str">
        <f t="shared" si="31"/>
        <v/>
      </c>
      <c r="AS314" s="511" t="str">
        <f t="shared" si="32"/>
        <v/>
      </c>
      <c r="AT314" s="513" t="str">
        <f t="shared" si="33"/>
        <v/>
      </c>
      <c r="AU314" s="515" t="str">
        <f t="shared" si="34"/>
        <v/>
      </c>
      <c r="AV314" s="517" t="str">
        <f t="shared" si="35"/>
        <v/>
      </c>
      <c r="AW314" s="589" t="str">
        <f>IFERROR(VLOOKUP(功能_33[[#This Row],[功能代號]],SIT_FT!D:D,1,FALSE),"")</f>
        <v/>
      </c>
    </row>
    <row r="315" spans="3:49" ht="13.5" hidden="1" x14ac:dyDescent="0.3">
      <c r="C315" s="276" t="s">
        <v>81</v>
      </c>
      <c r="D315" s="276" t="s">
        <v>2486</v>
      </c>
      <c r="E315" s="275" t="s">
        <v>902</v>
      </c>
      <c r="F315" s="276" t="s">
        <v>903</v>
      </c>
      <c r="G315" s="276" t="s">
        <v>901</v>
      </c>
      <c r="H315" s="275" t="s">
        <v>466</v>
      </c>
      <c r="I315" s="275" t="s">
        <v>466</v>
      </c>
      <c r="J315" s="218" t="s">
        <v>2703</v>
      </c>
      <c r="K315" s="283">
        <v>44578</v>
      </c>
      <c r="L315" s="275"/>
      <c r="M315" s="283">
        <v>44497</v>
      </c>
      <c r="N315" s="283">
        <v>44496</v>
      </c>
      <c r="O315" s="283">
        <v>44503</v>
      </c>
      <c r="P315" s="275" t="s">
        <v>7</v>
      </c>
      <c r="Q315" s="275" t="s">
        <v>14</v>
      </c>
      <c r="R315" s="258" t="s">
        <v>2604</v>
      </c>
      <c r="V315" s="275"/>
      <c r="X315" s="275"/>
      <c r="Y315" s="275"/>
      <c r="Z315" s="276" t="str">
        <f>VLOOKUP(功能_33[[#This Row],[User]],SKL放款!A:G,7,FALSE)</f>
        <v>放款管理課</v>
      </c>
      <c r="AA315" s="283">
        <v>44503</v>
      </c>
      <c r="AB315" s="283" t="s">
        <v>2408</v>
      </c>
      <c r="AC315" s="283">
        <v>44539</v>
      </c>
      <c r="AD315" s="283">
        <v>44539</v>
      </c>
      <c r="AE315" s="283">
        <v>44539</v>
      </c>
      <c r="AF315" s="283"/>
      <c r="AG315" s="283"/>
      <c r="AH315" s="334"/>
      <c r="AI315" s="283">
        <f>IFERROR(IF(VLOOKUP(功能_33[[#This Row],[功能代號]],E:S,11,FALSE)=0,"",VLOOKUP(功能_33[[#This Row],[功能代號]],E:S,11,FALSE)),"")</f>
        <v>44503</v>
      </c>
      <c r="AJ315" s="283"/>
      <c r="AK315" s="283"/>
      <c r="AL315" s="276"/>
      <c r="AM315" s="283"/>
      <c r="AN315" s="275" t="s">
        <v>2700</v>
      </c>
      <c r="AO315" s="276" t="s">
        <v>2701</v>
      </c>
      <c r="AQ315" s="507" t="str">
        <f t="shared" si="30"/>
        <v>5-4</v>
      </c>
      <c r="AR315" s="509" t="str">
        <f t="shared" si="31"/>
        <v/>
      </c>
      <c r="AS315" s="511" t="str">
        <f t="shared" si="32"/>
        <v/>
      </c>
      <c r="AT315" s="513" t="str">
        <f t="shared" si="33"/>
        <v/>
      </c>
      <c r="AU315" s="515" t="str">
        <f t="shared" si="34"/>
        <v/>
      </c>
      <c r="AV315" s="517" t="str">
        <f t="shared" si="35"/>
        <v/>
      </c>
      <c r="AW315" s="589" t="str">
        <f>IFERROR(VLOOKUP(功能_33[[#This Row],[功能代號]],SIT_FT!D:D,1,FALSE),"")</f>
        <v/>
      </c>
    </row>
    <row r="316" spans="3:49" ht="13.5" hidden="1" x14ac:dyDescent="0.3">
      <c r="C316" s="276" t="s">
        <v>84</v>
      </c>
      <c r="D316" s="276" t="s">
        <v>904</v>
      </c>
      <c r="E316" s="275" t="s">
        <v>905</v>
      </c>
      <c r="F316" s="276" t="s">
        <v>906</v>
      </c>
      <c r="G316" s="276"/>
      <c r="H316" s="275" t="s">
        <v>179</v>
      </c>
      <c r="I316" s="275" t="s">
        <v>180</v>
      </c>
      <c r="J316" s="218" t="s">
        <v>2863</v>
      </c>
      <c r="K316" s="283">
        <v>44587</v>
      </c>
      <c r="L316" s="275"/>
      <c r="M316" s="283">
        <v>44502</v>
      </c>
      <c r="N316" s="283">
        <v>44503</v>
      </c>
      <c r="O316" s="283">
        <v>44537</v>
      </c>
      <c r="P316" s="275" t="s">
        <v>7</v>
      </c>
      <c r="Q316" s="275" t="s">
        <v>28</v>
      </c>
      <c r="R316" s="258" t="s">
        <v>907</v>
      </c>
      <c r="V316" s="275"/>
      <c r="X316" s="275"/>
      <c r="Y316" s="275"/>
      <c r="Z316" s="276" t="str">
        <f>VLOOKUP(功能_33[[#This Row],[User]],SKL放款!A:G,7,FALSE)</f>
        <v>放款審查課</v>
      </c>
      <c r="AA316" s="283">
        <v>44533</v>
      </c>
      <c r="AB316" s="283">
        <v>44526</v>
      </c>
      <c r="AC316" s="283">
        <v>44526</v>
      </c>
      <c r="AD316" s="283">
        <v>44526</v>
      </c>
      <c r="AE316" s="283">
        <v>44546</v>
      </c>
      <c r="AF316" s="283"/>
      <c r="AG316" s="283"/>
      <c r="AH316" s="334"/>
      <c r="AI316" s="283">
        <f>IFERROR(IF(VLOOKUP(功能_33[[#This Row],[功能代號]],E:S,11,FALSE)=0,"",VLOOKUP(功能_33[[#This Row],[功能代號]],E:S,11,FALSE)),"")</f>
        <v>44537</v>
      </c>
      <c r="AJ316" s="283"/>
      <c r="AK316" s="283"/>
      <c r="AL316" s="276"/>
      <c r="AM316" s="283">
        <v>44438</v>
      </c>
      <c r="AN316" s="275" t="s">
        <v>176</v>
      </c>
      <c r="AQ316" s="507" t="str">
        <f t="shared" si="30"/>
        <v>8-1</v>
      </c>
      <c r="AR316" s="509" t="str">
        <f t="shared" si="31"/>
        <v/>
      </c>
      <c r="AS316" s="511" t="str">
        <f t="shared" si="32"/>
        <v/>
      </c>
      <c r="AT316" s="513" t="str">
        <f t="shared" si="33"/>
        <v/>
      </c>
      <c r="AU316" s="515" t="str">
        <f t="shared" si="34"/>
        <v/>
      </c>
      <c r="AV316" s="517" t="str">
        <f t="shared" si="35"/>
        <v/>
      </c>
      <c r="AW316" s="589" t="str">
        <f>IFERROR(VLOOKUP(功能_33[[#This Row],[功能代號]],SIT_FT!D:D,1,FALSE),"")</f>
        <v>L8080</v>
      </c>
    </row>
    <row r="317" spans="3:49" ht="13.5" hidden="1" x14ac:dyDescent="0.3">
      <c r="C317" s="276" t="s">
        <v>82</v>
      </c>
      <c r="D317" s="276" t="s">
        <v>2482</v>
      </c>
      <c r="E317" s="275" t="s">
        <v>573</v>
      </c>
      <c r="F317" s="276" t="s">
        <v>572</v>
      </c>
      <c r="G317" s="276"/>
      <c r="H317" s="275" t="s">
        <v>179</v>
      </c>
      <c r="I317" s="275" t="s">
        <v>300</v>
      </c>
      <c r="J317" s="218" t="s">
        <v>2875</v>
      </c>
      <c r="K317" s="283">
        <v>44565</v>
      </c>
      <c r="L317" s="283">
        <v>44565</v>
      </c>
      <c r="M317" s="283">
        <v>44516</v>
      </c>
      <c r="N317" s="283">
        <v>44467</v>
      </c>
      <c r="O317" s="283">
        <v>44467</v>
      </c>
      <c r="P317" s="275" t="s">
        <v>12</v>
      </c>
      <c r="Q317" s="275" t="s">
        <v>553</v>
      </c>
      <c r="V317" s="275"/>
      <c r="X317" s="275"/>
      <c r="Y317" s="275"/>
      <c r="Z317" s="276" t="str">
        <f>VLOOKUP(功能_33[[#This Row],[User]],SKL放款!A:G,7,FALSE)</f>
        <v>放款審查課</v>
      </c>
      <c r="AA317" s="283">
        <v>44533</v>
      </c>
      <c r="AB317" s="283" t="s">
        <v>181</v>
      </c>
      <c r="AC317" s="283">
        <v>44467</v>
      </c>
      <c r="AD317" s="283">
        <v>44467</v>
      </c>
      <c r="AE317" s="283">
        <v>44550</v>
      </c>
      <c r="AF317" s="283"/>
      <c r="AG317" s="283"/>
      <c r="AH317" s="334"/>
      <c r="AI317" s="283">
        <f>IFERROR(IF(VLOOKUP(功能_33[[#This Row],[功能代號]],E:S,11,FALSE)=0,"",VLOOKUP(功能_33[[#This Row],[功能代號]],E:S,11,FALSE)),"")</f>
        <v>44467</v>
      </c>
      <c r="AJ317" s="283"/>
      <c r="AK317" s="283"/>
      <c r="AL317" s="276"/>
      <c r="AM317" s="283"/>
      <c r="AN317" s="287" t="s">
        <v>571</v>
      </c>
      <c r="AO317" s="288" t="s">
        <v>572</v>
      </c>
      <c r="AQ317" s="507" t="str">
        <f t="shared" si="30"/>
        <v>6-6</v>
      </c>
      <c r="AR317" s="509" t="str">
        <f t="shared" si="31"/>
        <v/>
      </c>
      <c r="AS317" s="511" t="str">
        <f t="shared" si="32"/>
        <v/>
      </c>
      <c r="AT317" s="513" t="str">
        <f t="shared" si="33"/>
        <v/>
      </c>
      <c r="AU317" s="515" t="str">
        <f t="shared" si="34"/>
        <v/>
      </c>
      <c r="AV317" s="517" t="str">
        <f t="shared" si="35"/>
        <v/>
      </c>
      <c r="AW317" s="589" t="str">
        <f>IFERROR(VLOOKUP(功能_33[[#This Row],[功能代號]],SIT_FT!D:D,1,FALSE),"")</f>
        <v>L6602</v>
      </c>
    </row>
    <row r="318" spans="3:49" ht="13.5" hidden="1" x14ac:dyDescent="0.3">
      <c r="C318" s="276" t="s">
        <v>84</v>
      </c>
      <c r="D318" s="387" t="s">
        <v>2514</v>
      </c>
      <c r="E318" s="275" t="s">
        <v>910</v>
      </c>
      <c r="F318" s="276" t="s">
        <v>2831</v>
      </c>
      <c r="G318" s="276"/>
      <c r="H318" s="275" t="s">
        <v>122</v>
      </c>
      <c r="I318" s="275" t="s">
        <v>122</v>
      </c>
      <c r="J318" s="218" t="s">
        <v>2863</v>
      </c>
      <c r="K318" s="275" t="s">
        <v>3010</v>
      </c>
      <c r="L318" s="275"/>
      <c r="M318" s="283">
        <v>44524</v>
      </c>
      <c r="N318" s="283">
        <v>44526</v>
      </c>
      <c r="O318" s="283">
        <v>44546</v>
      </c>
      <c r="P318" s="275" t="s">
        <v>7</v>
      </c>
      <c r="Q318" s="275" t="s">
        <v>28</v>
      </c>
      <c r="R318" s="258" t="s">
        <v>907</v>
      </c>
      <c r="V318" s="275"/>
      <c r="X318" s="275"/>
      <c r="Y318" s="275"/>
      <c r="Z318" s="276" t="str">
        <f>VLOOKUP(功能_33[[#This Row],[User]],SKL放款!A:G,7,FALSE)</f>
        <v>放款審查課</v>
      </c>
      <c r="AA318" s="283">
        <v>44537</v>
      </c>
      <c r="AB318" s="283" t="s">
        <v>2574</v>
      </c>
      <c r="AC318" s="283">
        <v>44526</v>
      </c>
      <c r="AD318" s="283">
        <v>44526</v>
      </c>
      <c r="AE318" s="283">
        <v>44546</v>
      </c>
      <c r="AF318" s="283"/>
      <c r="AG318" s="283"/>
      <c r="AH318" s="334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76"/>
      <c r="AM318" s="283"/>
      <c r="AN318" s="275" t="s">
        <v>176</v>
      </c>
      <c r="AQ318" s="507" t="str">
        <f t="shared" si="30"/>
        <v>8-1</v>
      </c>
      <c r="AR318" s="509" t="str">
        <f t="shared" si="31"/>
        <v/>
      </c>
      <c r="AS318" s="511" t="str">
        <f t="shared" si="32"/>
        <v/>
      </c>
      <c r="AT318" s="513" t="str">
        <f t="shared" si="33"/>
        <v/>
      </c>
      <c r="AU318" s="515" t="str">
        <f t="shared" si="34"/>
        <v/>
      </c>
      <c r="AV318" s="517" t="str">
        <f t="shared" si="35"/>
        <v/>
      </c>
      <c r="AW318" s="589" t="str">
        <f>IFERROR(VLOOKUP(功能_33[[#This Row],[功能代號]],SIT_FT!D:D,1,FALSE),"")</f>
        <v/>
      </c>
    </row>
    <row r="319" spans="3:49" ht="13.5" hidden="1" x14ac:dyDescent="0.3">
      <c r="C319" s="276" t="s">
        <v>84</v>
      </c>
      <c r="D319" s="387" t="s">
        <v>2514</v>
      </c>
      <c r="E319" s="275" t="s">
        <v>2830</v>
      </c>
      <c r="F319" s="276" t="s">
        <v>2832</v>
      </c>
      <c r="G319" s="276" t="s">
        <v>912</v>
      </c>
      <c r="H319" s="275" t="s">
        <v>122</v>
      </c>
      <c r="I319" s="275" t="s">
        <v>122</v>
      </c>
      <c r="J319" s="218" t="s">
        <v>2863</v>
      </c>
      <c r="K319" s="275" t="s">
        <v>3010</v>
      </c>
      <c r="L319" s="275"/>
      <c r="M319" s="283">
        <v>44524</v>
      </c>
      <c r="N319" s="283">
        <v>44526</v>
      </c>
      <c r="O319" s="283">
        <v>44546</v>
      </c>
      <c r="P319" s="275" t="s">
        <v>7</v>
      </c>
      <c r="Q319" s="275" t="s">
        <v>28</v>
      </c>
      <c r="R319" s="258" t="s">
        <v>907</v>
      </c>
      <c r="V319" s="275"/>
      <c r="X319" s="275"/>
      <c r="Y319" s="275"/>
      <c r="Z319" s="276" t="str">
        <f>VLOOKUP(功能_33[[#This Row],[User]],SKL放款!A:G,7,FALSE)</f>
        <v>放款審查課</v>
      </c>
      <c r="AA319" s="283">
        <v>44537</v>
      </c>
      <c r="AB319" s="283" t="s">
        <v>2574</v>
      </c>
      <c r="AC319" s="283">
        <v>44526</v>
      </c>
      <c r="AD319" s="283">
        <v>44526</v>
      </c>
      <c r="AE319" s="283">
        <v>44546</v>
      </c>
      <c r="AF319" s="283"/>
      <c r="AG319" s="283"/>
      <c r="AH319" s="334"/>
      <c r="AI319" s="283">
        <f>IFERROR(IF(VLOOKUP(功能_33[[#This Row],[功能代號]],E:S,11,FALSE)=0,"",VLOOKUP(功能_33[[#This Row],[功能代號]],E:S,11,FALSE)),"")</f>
        <v>44546</v>
      </c>
      <c r="AJ319" s="283"/>
      <c r="AK319" s="283"/>
      <c r="AL319" s="276"/>
      <c r="AM319" s="283"/>
      <c r="AN319" s="275" t="s">
        <v>176</v>
      </c>
      <c r="AQ319" s="507" t="str">
        <f t="shared" si="30"/>
        <v>8-1</v>
      </c>
      <c r="AR319" s="509" t="str">
        <f t="shared" si="31"/>
        <v/>
      </c>
      <c r="AS319" s="511" t="str">
        <f t="shared" si="32"/>
        <v/>
      </c>
      <c r="AT319" s="513" t="str">
        <f t="shared" si="33"/>
        <v/>
      </c>
      <c r="AU319" s="515" t="str">
        <f t="shared" si="34"/>
        <v/>
      </c>
      <c r="AV319" s="517" t="str">
        <f t="shared" si="35"/>
        <v/>
      </c>
      <c r="AW319" s="589" t="str">
        <f>IFERROR(VLOOKUP(功能_33[[#This Row],[功能代號]],SIT_FT!D:D,1,FALSE),"")</f>
        <v/>
      </c>
    </row>
    <row r="320" spans="3:49" ht="13.5" hidden="1" x14ac:dyDescent="0.3">
      <c r="C320" s="276" t="s">
        <v>84</v>
      </c>
      <c r="D320" s="387" t="s">
        <v>2514</v>
      </c>
      <c r="E320" s="275" t="s">
        <v>913</v>
      </c>
      <c r="F320" s="276" t="s">
        <v>914</v>
      </c>
      <c r="G320" s="276" t="s">
        <v>915</v>
      </c>
      <c r="H320" s="275" t="s">
        <v>122</v>
      </c>
      <c r="I320" s="275" t="s">
        <v>122</v>
      </c>
      <c r="J320" s="218" t="s">
        <v>2863</v>
      </c>
      <c r="K320" s="275" t="s">
        <v>3010</v>
      </c>
      <c r="L320" s="275"/>
      <c r="M320" s="283">
        <v>44524</v>
      </c>
      <c r="N320" s="283">
        <v>44526</v>
      </c>
      <c r="O320" s="283">
        <v>44546</v>
      </c>
      <c r="P320" s="275" t="s">
        <v>7</v>
      </c>
      <c r="Q320" s="275" t="s">
        <v>28</v>
      </c>
      <c r="R320" s="258" t="s">
        <v>907</v>
      </c>
      <c r="V320" s="275"/>
      <c r="X320" s="275"/>
      <c r="Y320" s="275"/>
      <c r="Z320" s="276" t="str">
        <f>VLOOKUP(功能_33[[#This Row],[User]],SKL放款!A:G,7,FALSE)</f>
        <v>放款審查課</v>
      </c>
      <c r="AA320" s="283">
        <v>44537</v>
      </c>
      <c r="AB320" s="283" t="s">
        <v>2574</v>
      </c>
      <c r="AC320" s="283">
        <v>44526</v>
      </c>
      <c r="AD320" s="283">
        <v>44526</v>
      </c>
      <c r="AE320" s="283">
        <v>44546</v>
      </c>
      <c r="AF320" s="269"/>
      <c r="AG320" s="269"/>
      <c r="AH320" s="269"/>
      <c r="AI320" s="269">
        <f>IFERROR(IF(VLOOKUP(功能_33[[#This Row],[功能代號]],E:S,11,FALSE)=0,"",VLOOKUP(功能_33[[#This Row],[功能代號]],E:S,11,FALSE)),"")</f>
        <v>44546</v>
      </c>
      <c r="AJ320" s="269"/>
      <c r="AK320" s="269"/>
      <c r="AL320" s="276"/>
      <c r="AN320" s="275" t="s">
        <v>2833</v>
      </c>
      <c r="AQ320" s="507" t="str">
        <f t="shared" si="30"/>
        <v>8-1</v>
      </c>
      <c r="AR320" s="509" t="str">
        <f t="shared" si="31"/>
        <v/>
      </c>
      <c r="AS320" s="511" t="str">
        <f t="shared" si="32"/>
        <v/>
      </c>
      <c r="AT320" s="513" t="str">
        <f t="shared" si="33"/>
        <v/>
      </c>
      <c r="AU320" s="515" t="str">
        <f t="shared" si="34"/>
        <v/>
      </c>
      <c r="AV320" s="517" t="str">
        <f t="shared" si="35"/>
        <v/>
      </c>
      <c r="AW320" s="589" t="str">
        <f>IFERROR(VLOOKUP(功能_33[[#This Row],[功能代號]],SIT_FT!D:D,1,FALSE),"")</f>
        <v/>
      </c>
    </row>
    <row r="321" spans="1:49" ht="13.5" hidden="1" x14ac:dyDescent="0.3">
      <c r="C321" s="276" t="s">
        <v>84</v>
      </c>
      <c r="D321" s="387" t="s">
        <v>2514</v>
      </c>
      <c r="E321" s="275" t="s">
        <v>2716</v>
      </c>
      <c r="F321" s="276" t="s">
        <v>911</v>
      </c>
      <c r="G321" s="276"/>
      <c r="H321" s="275" t="s">
        <v>122</v>
      </c>
      <c r="I321" s="275" t="s">
        <v>122</v>
      </c>
      <c r="J321" s="218" t="s">
        <v>2863</v>
      </c>
      <c r="K321" s="275" t="s">
        <v>3010</v>
      </c>
      <c r="L321" s="275"/>
      <c r="M321" s="283">
        <v>44524</v>
      </c>
      <c r="N321" s="283">
        <v>44526</v>
      </c>
      <c r="O321" s="283">
        <v>44546</v>
      </c>
      <c r="P321" s="275" t="s">
        <v>7</v>
      </c>
      <c r="Q321" s="275" t="s">
        <v>28</v>
      </c>
      <c r="R321" s="258" t="s">
        <v>907</v>
      </c>
      <c r="V321" s="275"/>
      <c r="X321" s="275"/>
      <c r="Y321" s="275"/>
      <c r="Z321" s="276" t="str">
        <f>VLOOKUP(功能_33[[#This Row],[User]],SKL放款!A:G,7,FALSE)</f>
        <v>放款審查課</v>
      </c>
      <c r="AA321" s="283">
        <v>44537</v>
      </c>
      <c r="AB321" s="283" t="s">
        <v>2574</v>
      </c>
      <c r="AC321" s="283">
        <v>44526</v>
      </c>
      <c r="AD321" s="283">
        <v>44526</v>
      </c>
      <c r="AE321" s="283">
        <v>44546</v>
      </c>
      <c r="AF321" s="283"/>
      <c r="AG321" s="283"/>
      <c r="AH321" s="334"/>
      <c r="AI321" s="283">
        <f>IFERROR(IF(VLOOKUP(功能_33[[#This Row],[功能代號]],E:S,11,FALSE)=0,"",VLOOKUP(功能_33[[#This Row],[功能代號]],E:S,11,FALSE)),"")</f>
        <v>44546</v>
      </c>
      <c r="AJ321" s="283"/>
      <c r="AK321" s="283"/>
      <c r="AL321" s="276"/>
      <c r="AM321" s="283"/>
      <c r="AN321" s="275" t="s">
        <v>176</v>
      </c>
      <c r="AQ321" s="507" t="str">
        <f t="shared" si="30"/>
        <v>8-1</v>
      </c>
      <c r="AR321" s="509" t="str">
        <f t="shared" si="31"/>
        <v/>
      </c>
      <c r="AS321" s="511" t="str">
        <f t="shared" si="32"/>
        <v/>
      </c>
      <c r="AT321" s="513" t="str">
        <f t="shared" si="33"/>
        <v/>
      </c>
      <c r="AU321" s="515" t="str">
        <f t="shared" si="34"/>
        <v/>
      </c>
      <c r="AV321" s="517" t="str">
        <f t="shared" si="35"/>
        <v/>
      </c>
      <c r="AW321" s="589" t="str">
        <f>IFERROR(VLOOKUP(功能_33[[#This Row],[功能代號]],SIT_FT!D:D,1,FALSE),"")</f>
        <v/>
      </c>
    </row>
    <row r="322" spans="1:49" ht="13.5" hidden="1" x14ac:dyDescent="0.3">
      <c r="A322" s="561"/>
      <c r="B322" s="374"/>
      <c r="C322" s="276" t="s">
        <v>84</v>
      </c>
      <c r="D322" s="387" t="s">
        <v>2514</v>
      </c>
      <c r="E322" s="275" t="s">
        <v>2835</v>
      </c>
      <c r="F322" s="267" t="s">
        <v>2836</v>
      </c>
      <c r="G322" s="267"/>
      <c r="H322" s="275" t="s">
        <v>122</v>
      </c>
      <c r="I322" s="275" t="s">
        <v>122</v>
      </c>
      <c r="J322" s="218" t="s">
        <v>2863</v>
      </c>
      <c r="K322" s="275" t="s">
        <v>3010</v>
      </c>
      <c r="L322" s="275"/>
      <c r="M322" s="283">
        <v>44524</v>
      </c>
      <c r="N322" s="283">
        <v>44526</v>
      </c>
      <c r="O322" s="283">
        <v>44546</v>
      </c>
      <c r="P322" s="275" t="s">
        <v>7</v>
      </c>
      <c r="Q322" s="275" t="s">
        <v>28</v>
      </c>
      <c r="R322" s="258" t="s">
        <v>907</v>
      </c>
      <c r="S322" s="283">
        <v>44537</v>
      </c>
      <c r="T322" s="283" t="s">
        <v>2574</v>
      </c>
      <c r="V322" s="275"/>
      <c r="X322" s="275"/>
      <c r="Y322" s="275"/>
      <c r="Z322" s="374" t="str">
        <f>VLOOKUP(功能_33[[#This Row],[User]],SKL放款!A:G,7,FALSE)</f>
        <v>放款審查課</v>
      </c>
      <c r="AA322" s="283">
        <v>44537</v>
      </c>
      <c r="AB322" s="283" t="s">
        <v>2574</v>
      </c>
      <c r="AC322" s="283">
        <v>44526</v>
      </c>
      <c r="AD322" s="283">
        <v>44526</v>
      </c>
      <c r="AE322" s="283">
        <v>44546</v>
      </c>
      <c r="AF322" s="269"/>
      <c r="AG322" s="269"/>
      <c r="AH322" s="269"/>
      <c r="AI322" s="269">
        <f>IFERROR(IF(VLOOKUP(功能_33[[#This Row],[功能代號]],E:S,11,FALSE)=0,"",VLOOKUP(功能_33[[#This Row],[功能代號]],E:S,11,FALSE)),"")</f>
        <v>44546</v>
      </c>
      <c r="AJ322" s="269"/>
      <c r="AK322" s="269"/>
      <c r="AL322" s="374"/>
      <c r="AN322" s="275" t="s">
        <v>176</v>
      </c>
      <c r="AO322" s="374"/>
      <c r="AQ322" s="562" t="str">
        <f t="shared" ref="AQ322:AQ385" si="42">IF(COUNTA(AE322)=1,LEFT(D322,3),"")</f>
        <v>8-1</v>
      </c>
      <c r="AR322" s="509" t="str">
        <f t="shared" ref="AR322:AR385" si="43">IF(AND(COUNTA(N322)=1,COUNTA(O322)=1,COUNTA(AA322)=1,COUNTA(AD322)=1,COUNTA(AE322)=0),LEFT(D322,3),"")</f>
        <v/>
      </c>
      <c r="AS322" s="511" t="str">
        <f t="shared" ref="AS322:AS385" si="44">IF(AND(COUNTA(N322)=1,COUNTA(O322)=1,COUNTA(AA322)=1,COUNTA(AD322)=0,COUNTA(AE322)=0),LEFT(D322,3),"")</f>
        <v/>
      </c>
      <c r="AT322" s="513" t="str">
        <f t="shared" ref="AT322:AT385" si="45">IF(AND(COUNTA(O322)=0,COUNTA(AA322)=1),LEFT(D322,3),"")</f>
        <v/>
      </c>
      <c r="AU322" s="515" t="str">
        <f t="shared" ref="AU322:AU385" si="46">IF(AND(COUNTA(O322)=1,COUNTA(AA322)=0),LEFT(D322,3),"")</f>
        <v/>
      </c>
      <c r="AV322" s="517" t="str">
        <f t="shared" ref="AV322:AV385" si="47">IF(AND(COUNTA(O322)=0,COUNTA(AA322)=0),LEFT(D322,3),"")</f>
        <v/>
      </c>
      <c r="AW322" s="589" t="str">
        <f>IFERROR(VLOOKUP(功能_33[[#This Row],[功能代號]],SIT_FT!D:D,1,FALSE),"")</f>
        <v/>
      </c>
    </row>
    <row r="323" spans="1:49" ht="13.5" hidden="1" x14ac:dyDescent="0.3">
      <c r="C323" s="276" t="s">
        <v>84</v>
      </c>
      <c r="D323" s="387" t="s">
        <v>2514</v>
      </c>
      <c r="E323" s="275" t="s">
        <v>916</v>
      </c>
      <c r="F323" s="276" t="s">
        <v>917</v>
      </c>
      <c r="G323" s="276"/>
      <c r="H323" s="275" t="s">
        <v>122</v>
      </c>
      <c r="I323" s="275" t="s">
        <v>122</v>
      </c>
      <c r="J323" s="218" t="s">
        <v>2863</v>
      </c>
      <c r="K323" s="275" t="s">
        <v>3010</v>
      </c>
      <c r="L323" s="275"/>
      <c r="M323" s="283">
        <v>44524</v>
      </c>
      <c r="N323" s="283">
        <v>44526</v>
      </c>
      <c r="O323" s="283">
        <v>44546</v>
      </c>
      <c r="P323" s="275" t="s">
        <v>7</v>
      </c>
      <c r="Q323" s="275" t="s">
        <v>28</v>
      </c>
      <c r="R323" s="258" t="s">
        <v>907</v>
      </c>
      <c r="V323" s="275"/>
      <c r="X323" s="275"/>
      <c r="Y323" s="275"/>
      <c r="Z323" s="276" t="str">
        <f>VLOOKUP(功能_33[[#This Row],[User]],SKL放款!A:G,7,FALSE)</f>
        <v>放款審查課</v>
      </c>
      <c r="AA323" s="283">
        <v>44537</v>
      </c>
      <c r="AB323" s="283" t="s">
        <v>2574</v>
      </c>
      <c r="AC323" s="283">
        <v>44526</v>
      </c>
      <c r="AD323" s="283">
        <v>44526</v>
      </c>
      <c r="AE323" s="283">
        <v>44546</v>
      </c>
      <c r="AF323" s="283"/>
      <c r="AG323" s="283"/>
      <c r="AH323" s="334"/>
      <c r="AI323" s="283">
        <f>IFERROR(IF(VLOOKUP(功能_33[[#This Row],[功能代號]],E:S,11,FALSE)=0,"",VLOOKUP(功能_33[[#This Row],[功能代號]],E:S,11,FALSE)),"")</f>
        <v>44546</v>
      </c>
      <c r="AJ323" s="283"/>
      <c r="AK323" s="283"/>
      <c r="AL323" s="276"/>
      <c r="AM323" s="283"/>
      <c r="AN323" s="275" t="s">
        <v>176</v>
      </c>
      <c r="AQ323" s="507" t="str">
        <f t="shared" si="42"/>
        <v>8-1</v>
      </c>
      <c r="AR323" s="509" t="str">
        <f t="shared" si="43"/>
        <v/>
      </c>
      <c r="AS323" s="511" t="str">
        <f t="shared" si="44"/>
        <v/>
      </c>
      <c r="AT323" s="513" t="str">
        <f t="shared" si="45"/>
        <v/>
      </c>
      <c r="AU323" s="515" t="str">
        <f t="shared" si="46"/>
        <v/>
      </c>
      <c r="AV323" s="517" t="str">
        <f t="shared" si="47"/>
        <v/>
      </c>
      <c r="AW323" s="589" t="str">
        <f>IFERROR(VLOOKUP(功能_33[[#This Row],[功能代號]],SIT_FT!D:D,1,FALSE),"")</f>
        <v/>
      </c>
    </row>
    <row r="324" spans="1:49" ht="13.5" hidden="1" x14ac:dyDescent="0.3">
      <c r="C324" s="276" t="s">
        <v>82</v>
      </c>
      <c r="D324" s="276" t="s">
        <v>2482</v>
      </c>
      <c r="E324" s="275" t="s">
        <v>556</v>
      </c>
      <c r="F324" s="276" t="s">
        <v>557</v>
      </c>
      <c r="G324" s="276"/>
      <c r="H324" s="275" t="s">
        <v>179</v>
      </c>
      <c r="I324" s="275" t="s">
        <v>300</v>
      </c>
      <c r="J324" s="218" t="s">
        <v>2875</v>
      </c>
      <c r="K324" s="283">
        <v>44565</v>
      </c>
      <c r="L324" s="283">
        <v>44565</v>
      </c>
      <c r="M324" s="283">
        <v>44516</v>
      </c>
      <c r="N324" s="283">
        <v>44467</v>
      </c>
      <c r="O324" s="283">
        <v>44467</v>
      </c>
      <c r="P324" s="275" t="s">
        <v>12</v>
      </c>
      <c r="Q324" s="275" t="s">
        <v>553</v>
      </c>
      <c r="V324" s="275"/>
      <c r="X324" s="275"/>
      <c r="Y324" s="275"/>
      <c r="Z324" s="276" t="str">
        <f>VLOOKUP(功能_33[[#This Row],[User]],SKL放款!A:G,7,FALSE)</f>
        <v>放款審查課</v>
      </c>
      <c r="AA324" s="283">
        <v>44533</v>
      </c>
      <c r="AB324" s="283" t="s">
        <v>181</v>
      </c>
      <c r="AC324" s="283">
        <v>44467</v>
      </c>
      <c r="AD324" s="283">
        <v>44467</v>
      </c>
      <c r="AE324" s="283">
        <v>44550</v>
      </c>
      <c r="AF324" s="283"/>
      <c r="AG324" s="283"/>
      <c r="AH324" s="334"/>
      <c r="AI324" s="283">
        <f>IFERROR(IF(VLOOKUP(功能_33[[#This Row],[功能代號]],E:S,11,FALSE)=0,"",VLOOKUP(功能_33[[#This Row],[功能代號]],E:S,11,FALSE)),"")</f>
        <v>44467</v>
      </c>
      <c r="AJ324" s="283"/>
      <c r="AK324" s="283"/>
      <c r="AL324" s="276"/>
      <c r="AM324" s="283"/>
      <c r="AN324" s="287" t="s">
        <v>554</v>
      </c>
      <c r="AO324" s="288" t="s">
        <v>555</v>
      </c>
      <c r="AQ324" s="507" t="str">
        <f t="shared" si="42"/>
        <v>6-6</v>
      </c>
      <c r="AR324" s="509" t="str">
        <f t="shared" si="43"/>
        <v/>
      </c>
      <c r="AS324" s="511" t="str">
        <f t="shared" si="44"/>
        <v/>
      </c>
      <c r="AT324" s="513" t="str">
        <f t="shared" si="45"/>
        <v/>
      </c>
      <c r="AU324" s="515" t="str">
        <f t="shared" si="46"/>
        <v/>
      </c>
      <c r="AV324" s="517" t="str">
        <f t="shared" si="47"/>
        <v/>
      </c>
      <c r="AW324" s="589" t="str">
        <f>IFERROR(VLOOKUP(功能_33[[#This Row],[功能代號]],SIT_FT!D:D,1,FALSE),"")</f>
        <v>L6603</v>
      </c>
    </row>
    <row r="325" spans="1:49" ht="13.5" hidden="1" x14ac:dyDescent="0.3">
      <c r="C325" s="276" t="s">
        <v>82</v>
      </c>
      <c r="D325" s="276" t="s">
        <v>2482</v>
      </c>
      <c r="E325" s="275" t="s">
        <v>534</v>
      </c>
      <c r="F325" s="276" t="s">
        <v>535</v>
      </c>
      <c r="G325" s="276"/>
      <c r="H325" s="275" t="s">
        <v>179</v>
      </c>
      <c r="I325" s="275" t="s">
        <v>300</v>
      </c>
      <c r="J325" s="218" t="s">
        <v>2875</v>
      </c>
      <c r="K325" s="283">
        <v>44565</v>
      </c>
      <c r="L325" s="283">
        <v>44565</v>
      </c>
      <c r="M325" s="283">
        <v>44515</v>
      </c>
      <c r="N325" s="283">
        <v>44466</v>
      </c>
      <c r="O325" s="283">
        <v>44472</v>
      </c>
      <c r="P325" s="275" t="s">
        <v>8</v>
      </c>
      <c r="Q325" s="275" t="s">
        <v>158</v>
      </c>
      <c r="V325" s="275"/>
      <c r="X325" s="275"/>
      <c r="Y325" s="275"/>
      <c r="Z325" s="276" t="str">
        <f>VLOOKUP(功能_33[[#This Row],[User]],SKL放款!A:G,7,FALSE)</f>
        <v>放款服務課</v>
      </c>
      <c r="AA325" s="283">
        <v>44472</v>
      </c>
      <c r="AB325" s="283" t="s">
        <v>119</v>
      </c>
      <c r="AC325" s="268">
        <v>44544</v>
      </c>
      <c r="AD325" s="268">
        <v>44544</v>
      </c>
      <c r="AE325" s="283">
        <v>44550</v>
      </c>
      <c r="AF325" s="283"/>
      <c r="AG325" s="283"/>
      <c r="AH325" s="334"/>
      <c r="AI325" s="283">
        <f>IFERROR(IF(VLOOKUP(功能_33[[#This Row],[功能代號]],E:S,11,FALSE)=0,"",VLOOKUP(功能_33[[#This Row],[功能代號]],E:S,11,FALSE)),"")</f>
        <v>44472</v>
      </c>
      <c r="AJ325" s="283"/>
      <c r="AK325" s="283"/>
      <c r="AL325" s="276"/>
      <c r="AM325" s="283"/>
      <c r="AN325" s="275" t="s">
        <v>176</v>
      </c>
      <c r="AQ325" s="507" t="str">
        <f t="shared" si="42"/>
        <v>6-6</v>
      </c>
      <c r="AR325" s="509" t="str">
        <f t="shared" si="43"/>
        <v/>
      </c>
      <c r="AS325" s="511" t="str">
        <f t="shared" si="44"/>
        <v/>
      </c>
      <c r="AT325" s="513" t="str">
        <f t="shared" si="45"/>
        <v/>
      </c>
      <c r="AU325" s="515" t="str">
        <f t="shared" si="46"/>
        <v/>
      </c>
      <c r="AV325" s="517" t="str">
        <f t="shared" si="47"/>
        <v/>
      </c>
      <c r="AW325" s="589" t="str">
        <f>IFERROR(VLOOKUP(功能_33[[#This Row],[功能代號]],SIT_FT!D:D,1,FALSE),"")</f>
        <v>L6604</v>
      </c>
    </row>
    <row r="326" spans="1:49" ht="13.5" hidden="1" x14ac:dyDescent="0.3">
      <c r="C326" s="276" t="s">
        <v>82</v>
      </c>
      <c r="D326" s="276" t="s">
        <v>2482</v>
      </c>
      <c r="E326" s="275" t="s">
        <v>582</v>
      </c>
      <c r="F326" s="276" t="s">
        <v>581</v>
      </c>
      <c r="G326" s="276"/>
      <c r="H326" s="275" t="s">
        <v>179</v>
      </c>
      <c r="I326" s="275" t="s">
        <v>300</v>
      </c>
      <c r="J326" s="218" t="s">
        <v>2875</v>
      </c>
      <c r="K326" s="283">
        <v>44565</v>
      </c>
      <c r="L326" s="283">
        <v>44565</v>
      </c>
      <c r="M326" s="283">
        <v>44516</v>
      </c>
      <c r="N326" s="283">
        <v>44467</v>
      </c>
      <c r="O326" s="283">
        <v>44472</v>
      </c>
      <c r="P326" s="275" t="s">
        <v>8</v>
      </c>
      <c r="Q326" s="275" t="s">
        <v>14</v>
      </c>
      <c r="V326" s="275"/>
      <c r="X326" s="275"/>
      <c r="Y326" s="275"/>
      <c r="Z326" s="276" t="str">
        <f>VLOOKUP(功能_33[[#This Row],[User]],SKL放款!A:G,7,FALSE)</f>
        <v>放款管理課</v>
      </c>
      <c r="AA326" s="283">
        <v>44472</v>
      </c>
      <c r="AB326" s="283" t="s">
        <v>119</v>
      </c>
      <c r="AC326" s="283">
        <v>44530</v>
      </c>
      <c r="AD326" s="283">
        <v>44530</v>
      </c>
      <c r="AE326" s="283">
        <v>44550</v>
      </c>
      <c r="AF326" s="283"/>
      <c r="AG326" s="283"/>
      <c r="AH326" s="334"/>
      <c r="AI326" s="283">
        <f>IFERROR(IF(VLOOKUP(功能_33[[#This Row],[功能代號]],E:S,11,FALSE)=0,"",VLOOKUP(功能_33[[#This Row],[功能代號]],E:S,11,FALSE)),"")</f>
        <v>44472</v>
      </c>
      <c r="AJ326" s="283"/>
      <c r="AK326" s="283"/>
      <c r="AL326" s="276"/>
      <c r="AM326" s="283"/>
      <c r="AN326" s="287" t="s">
        <v>580</v>
      </c>
      <c r="AO326" s="288" t="s">
        <v>581</v>
      </c>
      <c r="AQ326" s="507" t="str">
        <f t="shared" si="42"/>
        <v>6-6</v>
      </c>
      <c r="AR326" s="509" t="str">
        <f t="shared" si="43"/>
        <v/>
      </c>
      <c r="AS326" s="511" t="str">
        <f t="shared" si="44"/>
        <v/>
      </c>
      <c r="AT326" s="513" t="str">
        <f t="shared" si="45"/>
        <v/>
      </c>
      <c r="AU326" s="515" t="str">
        <f t="shared" si="46"/>
        <v/>
      </c>
      <c r="AV326" s="517" t="str">
        <f t="shared" si="47"/>
        <v/>
      </c>
      <c r="AW326" s="589" t="str">
        <f>IFERROR(VLOOKUP(功能_33[[#This Row],[功能代號]],SIT_FT!D:D,1,FALSE),"")</f>
        <v>L6605</v>
      </c>
    </row>
    <row r="327" spans="1:49" ht="13.5" hidden="1" x14ac:dyDescent="0.3">
      <c r="C327" s="276" t="s">
        <v>82</v>
      </c>
      <c r="D327" s="276" t="s">
        <v>2482</v>
      </c>
      <c r="E327" s="275" t="s">
        <v>587</v>
      </c>
      <c r="F327" s="276" t="s">
        <v>588</v>
      </c>
      <c r="G327" s="276"/>
      <c r="H327" s="275" t="s">
        <v>179</v>
      </c>
      <c r="I327" s="275" t="s">
        <v>300</v>
      </c>
      <c r="J327" s="218" t="s">
        <v>2875</v>
      </c>
      <c r="K327" s="283">
        <v>44565</v>
      </c>
      <c r="L327" s="283">
        <v>44565</v>
      </c>
      <c r="M327" s="283">
        <v>44516</v>
      </c>
      <c r="N327" s="283">
        <v>44467</v>
      </c>
      <c r="O327" s="283">
        <v>44467</v>
      </c>
      <c r="P327" s="275" t="s">
        <v>8</v>
      </c>
      <c r="Q327" s="275" t="s">
        <v>158</v>
      </c>
      <c r="V327" s="275"/>
      <c r="X327" s="275"/>
      <c r="Y327" s="275"/>
      <c r="Z327" s="276" t="str">
        <f>VLOOKUP(功能_33[[#This Row],[User]],SKL放款!A:G,7,FALSE)</f>
        <v>放款服務課</v>
      </c>
      <c r="AA327" s="283">
        <v>44533</v>
      </c>
      <c r="AB327" s="283" t="s">
        <v>181</v>
      </c>
      <c r="AC327" s="283">
        <v>44529</v>
      </c>
      <c r="AD327" s="283">
        <v>44529</v>
      </c>
      <c r="AE327" s="283">
        <v>44550</v>
      </c>
      <c r="AF327" s="283"/>
      <c r="AG327" s="283"/>
      <c r="AH327" s="334"/>
      <c r="AI327" s="283">
        <f>IFERROR(IF(VLOOKUP(功能_33[[#This Row],[功能代號]],E:S,11,FALSE)=0,"",VLOOKUP(功能_33[[#This Row],[功能代號]],E:S,11,FALSE)),"")</f>
        <v>44467</v>
      </c>
      <c r="AJ327" s="283"/>
      <c r="AK327" s="283"/>
      <c r="AL327" s="276"/>
      <c r="AM327" s="283"/>
      <c r="AN327" s="287" t="s">
        <v>585</v>
      </c>
      <c r="AO327" s="288" t="s">
        <v>586</v>
      </c>
      <c r="AQ327" s="507" t="str">
        <f t="shared" si="42"/>
        <v>6-6</v>
      </c>
      <c r="AR327" s="509" t="str">
        <f t="shared" si="43"/>
        <v/>
      </c>
      <c r="AS327" s="511" t="str">
        <f t="shared" si="44"/>
        <v/>
      </c>
      <c r="AT327" s="513" t="str">
        <f t="shared" si="45"/>
        <v/>
      </c>
      <c r="AU327" s="515" t="str">
        <f t="shared" si="46"/>
        <v/>
      </c>
      <c r="AV327" s="517" t="str">
        <f t="shared" si="47"/>
        <v/>
      </c>
      <c r="AW327" s="589" t="str">
        <f>IFERROR(VLOOKUP(功能_33[[#This Row],[功能代號]],SIT_FT!D:D,1,FALSE),"")</f>
        <v>L6606</v>
      </c>
    </row>
    <row r="328" spans="1:49" ht="13.5" hidden="1" x14ac:dyDescent="0.3">
      <c r="C328" s="276" t="s">
        <v>82</v>
      </c>
      <c r="D328" s="276" t="s">
        <v>2482</v>
      </c>
      <c r="E328" s="275" t="s">
        <v>562</v>
      </c>
      <c r="F328" s="276" t="s">
        <v>563</v>
      </c>
      <c r="G328" s="276"/>
      <c r="H328" s="275" t="s">
        <v>179</v>
      </c>
      <c r="I328" s="275" t="s">
        <v>300</v>
      </c>
      <c r="J328" s="218" t="s">
        <v>2875</v>
      </c>
      <c r="K328" s="283">
        <v>44566</v>
      </c>
      <c r="L328" s="283">
        <v>44566</v>
      </c>
      <c r="M328" s="283">
        <v>44516</v>
      </c>
      <c r="N328" s="283">
        <v>44467</v>
      </c>
      <c r="O328" s="283">
        <v>44467</v>
      </c>
      <c r="P328" s="275" t="s">
        <v>8</v>
      </c>
      <c r="Q328" s="275" t="s">
        <v>553</v>
      </c>
      <c r="V328" s="275"/>
      <c r="X328" s="275"/>
      <c r="Y328" s="275"/>
      <c r="Z328" s="276" t="str">
        <f>VLOOKUP(功能_33[[#This Row],[User]],SKL放款!A:G,7,FALSE)</f>
        <v>放款審查課</v>
      </c>
      <c r="AA328" s="283">
        <v>44533</v>
      </c>
      <c r="AB328" s="283" t="s">
        <v>181</v>
      </c>
      <c r="AC328" s="283">
        <v>44467</v>
      </c>
      <c r="AD328" s="283">
        <v>44467</v>
      </c>
      <c r="AE328" s="283">
        <v>44550</v>
      </c>
      <c r="AF328" s="283"/>
      <c r="AG328" s="283"/>
      <c r="AH328" s="334"/>
      <c r="AI328" s="283">
        <f>IFERROR(IF(VLOOKUP(功能_33[[#This Row],[功能代號]],E:S,11,FALSE)=0,"",VLOOKUP(功能_33[[#This Row],[功能代號]],E:S,11,FALSE)),"")</f>
        <v>44467</v>
      </c>
      <c r="AJ328" s="283"/>
      <c r="AK328" s="283"/>
      <c r="AL328" s="276"/>
      <c r="AM328" s="283"/>
      <c r="AN328" s="287" t="s">
        <v>560</v>
      </c>
      <c r="AO328" s="288" t="s">
        <v>561</v>
      </c>
      <c r="AQ328" s="507" t="str">
        <f t="shared" si="42"/>
        <v>6-6</v>
      </c>
      <c r="AR328" s="509" t="str">
        <f t="shared" si="43"/>
        <v/>
      </c>
      <c r="AS328" s="511" t="str">
        <f t="shared" si="44"/>
        <v/>
      </c>
      <c r="AT328" s="513" t="str">
        <f t="shared" si="45"/>
        <v/>
      </c>
      <c r="AU328" s="515" t="str">
        <f t="shared" si="46"/>
        <v/>
      </c>
      <c r="AV328" s="517" t="str">
        <f t="shared" si="47"/>
        <v/>
      </c>
      <c r="AW328" s="589" t="str">
        <f>IFERROR(VLOOKUP(功能_33[[#This Row],[功能代號]],SIT_FT!D:D,1,FALSE),"")</f>
        <v>L6607</v>
      </c>
    </row>
    <row r="329" spans="1:49" ht="13.5" hidden="1" x14ac:dyDescent="0.3">
      <c r="C329" s="276" t="s">
        <v>82</v>
      </c>
      <c r="D329" s="431" t="s">
        <v>2482</v>
      </c>
      <c r="E329" s="275" t="s">
        <v>1094</v>
      </c>
      <c r="F329" s="258" t="s">
        <v>1095</v>
      </c>
      <c r="G329" s="276"/>
      <c r="H329" s="275" t="s">
        <v>179</v>
      </c>
      <c r="I329" s="275" t="s">
        <v>300</v>
      </c>
      <c r="J329" s="218" t="s">
        <v>2977</v>
      </c>
      <c r="K329" s="283">
        <v>44566</v>
      </c>
      <c r="L329" s="283">
        <v>44566</v>
      </c>
      <c r="M329" s="283">
        <v>44529</v>
      </c>
      <c r="N329" s="283">
        <v>44533</v>
      </c>
      <c r="O329" s="283">
        <v>44537</v>
      </c>
      <c r="P329" s="275" t="s">
        <v>12</v>
      </c>
      <c r="Q329" s="275" t="s">
        <v>11</v>
      </c>
      <c r="V329" s="275"/>
      <c r="X329" s="275"/>
      <c r="Y329" s="275"/>
      <c r="Z329" s="276" t="str">
        <f>VLOOKUP(功能_33[[#This Row],[User]],SKL放款!A:G,7,FALSE)</f>
        <v>放款服務課</v>
      </c>
      <c r="AA329" s="283">
        <v>44533</v>
      </c>
      <c r="AB329" s="283" t="s">
        <v>2574</v>
      </c>
      <c r="AC329" s="283"/>
      <c r="AD329" s="283">
        <v>44533</v>
      </c>
      <c r="AE329" s="215" t="s">
        <v>3003</v>
      </c>
      <c r="AF329" s="283"/>
      <c r="AG329" s="283"/>
      <c r="AH329" s="334"/>
      <c r="AI329" s="283">
        <f>IFERROR(IF(VLOOKUP(功能_33[[#This Row],[功能代號]],E:S,11,FALSE)=0,"",VLOOKUP(功能_33[[#This Row],[功能代號]],E:S,11,FALSE)),"")</f>
        <v>44537</v>
      </c>
      <c r="AJ329" s="283"/>
      <c r="AK329" s="283"/>
      <c r="AL329" s="276"/>
      <c r="AM329" s="283"/>
      <c r="AN329" s="275" t="s">
        <v>176</v>
      </c>
      <c r="AQ329" s="507" t="str">
        <f t="shared" si="42"/>
        <v>6-6</v>
      </c>
      <c r="AR329" s="509" t="str">
        <f t="shared" si="43"/>
        <v/>
      </c>
      <c r="AS329" s="511" t="str">
        <f t="shared" si="44"/>
        <v/>
      </c>
      <c r="AT329" s="513" t="str">
        <f t="shared" si="45"/>
        <v/>
      </c>
      <c r="AU329" s="515" t="str">
        <f t="shared" si="46"/>
        <v/>
      </c>
      <c r="AV329" s="517" t="str">
        <f t="shared" si="47"/>
        <v/>
      </c>
      <c r="AW329" s="589" t="str">
        <f>IFERROR(VLOOKUP(功能_33[[#This Row],[功能代號]],SIT_FT!D:D,1,FALSE),"")</f>
        <v>L6608</v>
      </c>
    </row>
    <row r="330" spans="1:49" ht="13.5" hidden="1" x14ac:dyDescent="0.3">
      <c r="C330" s="276" t="s">
        <v>82</v>
      </c>
      <c r="D330" s="276" t="s">
        <v>2483</v>
      </c>
      <c r="E330" s="275" t="s">
        <v>589</v>
      </c>
      <c r="F330" s="276" t="s">
        <v>590</v>
      </c>
      <c r="G330" s="276"/>
      <c r="H330" s="275" t="s">
        <v>179</v>
      </c>
      <c r="I330" s="275" t="s">
        <v>300</v>
      </c>
      <c r="J330" s="218" t="s">
        <v>2875</v>
      </c>
      <c r="K330" s="283">
        <v>44566</v>
      </c>
      <c r="L330" s="283">
        <v>44566</v>
      </c>
      <c r="M330" s="283">
        <v>44516</v>
      </c>
      <c r="N330" s="283">
        <v>44467</v>
      </c>
      <c r="O330" s="283">
        <v>44467</v>
      </c>
      <c r="P330" s="275" t="s">
        <v>8</v>
      </c>
      <c r="Q330" s="275" t="s">
        <v>158</v>
      </c>
      <c r="V330" s="275"/>
      <c r="X330" s="275"/>
      <c r="Y330" s="275"/>
      <c r="Z330" s="276" t="str">
        <f>VLOOKUP(功能_33[[#This Row],[User]],SKL放款!A:G,7,FALSE)</f>
        <v>放款服務課</v>
      </c>
      <c r="AA330" s="283">
        <v>44533</v>
      </c>
      <c r="AB330" s="283" t="s">
        <v>181</v>
      </c>
      <c r="AC330" s="283">
        <v>44529</v>
      </c>
      <c r="AD330" s="283">
        <v>44529</v>
      </c>
      <c r="AE330" s="283">
        <v>44550</v>
      </c>
      <c r="AF330" s="283"/>
      <c r="AG330" s="283"/>
      <c r="AH330" s="334"/>
      <c r="AI330" s="283">
        <f>IFERROR(IF(VLOOKUP(功能_33[[#This Row],[功能代號]],E:S,11,FALSE)=0,"",VLOOKUP(功能_33[[#This Row],[功能代號]],E:S,11,FALSE)),"")</f>
        <v>44467</v>
      </c>
      <c r="AJ330" s="283"/>
      <c r="AK330" s="283"/>
      <c r="AL330" s="276"/>
      <c r="AM330" s="283"/>
      <c r="AN330" s="287" t="s">
        <v>591</v>
      </c>
      <c r="AO330" s="288" t="s">
        <v>592</v>
      </c>
      <c r="AQ330" s="507" t="str">
        <f t="shared" si="42"/>
        <v>6-7</v>
      </c>
      <c r="AR330" s="509" t="str">
        <f t="shared" si="43"/>
        <v/>
      </c>
      <c r="AS330" s="511" t="str">
        <f t="shared" si="44"/>
        <v/>
      </c>
      <c r="AT330" s="513" t="str">
        <f t="shared" si="45"/>
        <v/>
      </c>
      <c r="AU330" s="515" t="str">
        <f t="shared" si="46"/>
        <v/>
      </c>
      <c r="AV330" s="517" t="str">
        <f t="shared" si="47"/>
        <v/>
      </c>
      <c r="AW330" s="589" t="str">
        <f>IFERROR(VLOOKUP(功能_33[[#This Row],[功能代號]],SIT_FT!D:D,1,FALSE),"")</f>
        <v>L6071</v>
      </c>
    </row>
    <row r="331" spans="1:49" ht="13.5" hidden="1" x14ac:dyDescent="0.3">
      <c r="C331" s="276" t="s">
        <v>82</v>
      </c>
      <c r="D331" s="431" t="s">
        <v>2483</v>
      </c>
      <c r="E331" s="275" t="s">
        <v>1102</v>
      </c>
      <c r="F331" s="276" t="s">
        <v>1103</v>
      </c>
      <c r="G331" s="276"/>
      <c r="H331" s="275" t="s">
        <v>179</v>
      </c>
      <c r="I331" s="275" t="s">
        <v>300</v>
      </c>
      <c r="J331" s="218" t="s">
        <v>2977</v>
      </c>
      <c r="K331" s="283">
        <v>44566</v>
      </c>
      <c r="L331" s="283">
        <v>44566</v>
      </c>
      <c r="M331" s="283">
        <v>44529</v>
      </c>
      <c r="N331" s="283">
        <v>44529</v>
      </c>
      <c r="O331" s="283">
        <v>44537</v>
      </c>
      <c r="P331" s="275" t="s">
        <v>12</v>
      </c>
      <c r="Q331" s="275" t="s">
        <v>11</v>
      </c>
      <c r="V331" s="275"/>
      <c r="X331" s="275"/>
      <c r="Y331" s="275"/>
      <c r="Z331" s="276" t="str">
        <f>VLOOKUP(功能_33[[#This Row],[User]],SKL放款!A:G,7,FALSE)</f>
        <v>放款服務課</v>
      </c>
      <c r="AA331" s="283">
        <v>44533</v>
      </c>
      <c r="AB331" s="283" t="s">
        <v>2574</v>
      </c>
      <c r="AC331" s="283"/>
      <c r="AD331" s="283">
        <v>44529</v>
      </c>
      <c r="AE331" s="215" t="s">
        <v>3003</v>
      </c>
      <c r="AF331" s="283"/>
      <c r="AG331" s="283"/>
      <c r="AH331" s="334"/>
      <c r="AI331" s="283">
        <f>IFERROR(IF(VLOOKUP(功能_33[[#This Row],[功能代號]],E:S,11,FALSE)=0,"",VLOOKUP(功能_33[[#This Row],[功能代號]],E:S,11,FALSE)),"")</f>
        <v>44537</v>
      </c>
      <c r="AJ331" s="283"/>
      <c r="AK331" s="283"/>
      <c r="AL331" s="276"/>
      <c r="AM331" s="283"/>
      <c r="AN331" s="287" t="s">
        <v>1104</v>
      </c>
      <c r="AO331" s="288" t="s">
        <v>1105</v>
      </c>
      <c r="AQ331" s="507" t="str">
        <f t="shared" si="42"/>
        <v>6-7</v>
      </c>
      <c r="AR331" s="509" t="str">
        <f t="shared" si="43"/>
        <v/>
      </c>
      <c r="AS331" s="511" t="str">
        <f t="shared" si="44"/>
        <v/>
      </c>
      <c r="AT331" s="513" t="str">
        <f t="shared" si="45"/>
        <v/>
      </c>
      <c r="AU331" s="515" t="str">
        <f t="shared" si="46"/>
        <v/>
      </c>
      <c r="AV331" s="517" t="str">
        <f t="shared" si="47"/>
        <v/>
      </c>
      <c r="AW331" s="589" t="str">
        <f>IFERROR(VLOOKUP(功能_33[[#This Row],[功能代號]],SIT_FT!D:D,1,FALSE),"")</f>
        <v>L6072</v>
      </c>
    </row>
    <row r="332" spans="1:49" ht="13.5" hidden="1" x14ac:dyDescent="0.3">
      <c r="C332" s="276" t="s">
        <v>82</v>
      </c>
      <c r="D332" s="276" t="s">
        <v>2483</v>
      </c>
      <c r="E332" s="275" t="s">
        <v>594</v>
      </c>
      <c r="F332" s="276" t="s">
        <v>595</v>
      </c>
      <c r="G332" s="276"/>
      <c r="H332" s="275" t="s">
        <v>179</v>
      </c>
      <c r="I332" s="275" t="s">
        <v>300</v>
      </c>
      <c r="J332" s="218" t="s">
        <v>2875</v>
      </c>
      <c r="K332" s="283">
        <v>44566</v>
      </c>
      <c r="L332" s="283">
        <v>44566</v>
      </c>
      <c r="M332" s="283">
        <v>44516</v>
      </c>
      <c r="N332" s="283">
        <v>44467</v>
      </c>
      <c r="O332" s="283">
        <v>44467</v>
      </c>
      <c r="P332" s="275" t="s">
        <v>12</v>
      </c>
      <c r="Q332" s="275" t="s">
        <v>158</v>
      </c>
      <c r="V332" s="275"/>
      <c r="X332" s="275"/>
      <c r="Y332" s="275"/>
      <c r="Z332" s="276" t="str">
        <f>VLOOKUP(功能_33[[#This Row],[User]],SKL放款!A:G,7,FALSE)</f>
        <v>放款服務課</v>
      </c>
      <c r="AA332" s="283">
        <v>44533</v>
      </c>
      <c r="AB332" s="283" t="s">
        <v>181</v>
      </c>
      <c r="AC332" s="283">
        <v>44529</v>
      </c>
      <c r="AD332" s="283">
        <v>44529</v>
      </c>
      <c r="AE332" s="283">
        <v>44550</v>
      </c>
      <c r="AF332" s="283"/>
      <c r="AG332" s="283"/>
      <c r="AH332" s="334"/>
      <c r="AI332" s="283">
        <f>IFERROR(IF(VLOOKUP(功能_33[[#This Row],[功能代號]],E:S,11,FALSE)=0,"",VLOOKUP(功能_33[[#This Row],[功能代號]],E:S,11,FALSE)),"")</f>
        <v>44467</v>
      </c>
      <c r="AJ332" s="283"/>
      <c r="AK332" s="283"/>
      <c r="AL332" s="276"/>
      <c r="AM332" s="283"/>
      <c r="AN332" s="287" t="s">
        <v>596</v>
      </c>
      <c r="AO332" s="288" t="s">
        <v>597</v>
      </c>
      <c r="AQ332" s="507" t="str">
        <f t="shared" si="42"/>
        <v>6-7</v>
      </c>
      <c r="AR332" s="509" t="str">
        <f t="shared" si="43"/>
        <v/>
      </c>
      <c r="AS332" s="511" t="str">
        <f t="shared" si="44"/>
        <v/>
      </c>
      <c r="AT332" s="513" t="str">
        <f t="shared" si="45"/>
        <v/>
      </c>
      <c r="AU332" s="515" t="str">
        <f t="shared" si="46"/>
        <v/>
      </c>
      <c r="AV332" s="517" t="str">
        <f t="shared" si="47"/>
        <v/>
      </c>
      <c r="AW332" s="589" t="str">
        <f>IFERROR(VLOOKUP(功能_33[[#This Row],[功能代號]],SIT_FT!D:D,1,FALSE),"")</f>
        <v>L6073</v>
      </c>
    </row>
    <row r="333" spans="1:49" ht="13.5" hidden="1" x14ac:dyDescent="0.3">
      <c r="C333" s="276" t="s">
        <v>82</v>
      </c>
      <c r="D333" s="276" t="s">
        <v>2483</v>
      </c>
      <c r="E333" s="275" t="s">
        <v>574</v>
      </c>
      <c r="F333" s="276" t="s">
        <v>575</v>
      </c>
      <c r="G333" s="276"/>
      <c r="H333" s="275" t="s">
        <v>179</v>
      </c>
      <c r="I333" s="275" t="s">
        <v>300</v>
      </c>
      <c r="J333" s="218" t="s">
        <v>2875</v>
      </c>
      <c r="K333" s="283">
        <v>44566</v>
      </c>
      <c r="L333" s="283">
        <v>44566</v>
      </c>
      <c r="M333" s="283">
        <v>44516</v>
      </c>
      <c r="N333" s="283">
        <v>44467</v>
      </c>
      <c r="O333" s="283">
        <v>44472</v>
      </c>
      <c r="P333" s="275" t="s">
        <v>12</v>
      </c>
      <c r="Q333" s="275" t="s">
        <v>553</v>
      </c>
      <c r="V333" s="275"/>
      <c r="X333" s="275"/>
      <c r="Y333" s="275"/>
      <c r="Z333" s="276" t="str">
        <f>VLOOKUP(功能_33[[#This Row],[User]],SKL放款!A:G,7,FALSE)</f>
        <v>放款審查課</v>
      </c>
      <c r="AA333" s="283">
        <v>44472</v>
      </c>
      <c r="AB333" s="283" t="s">
        <v>119</v>
      </c>
      <c r="AC333" s="268">
        <v>44544</v>
      </c>
      <c r="AD333" s="268">
        <v>44544</v>
      </c>
      <c r="AE333" s="283">
        <v>44550</v>
      </c>
      <c r="AF333" s="283"/>
      <c r="AG333" s="283"/>
      <c r="AH333" s="334"/>
      <c r="AI333" s="283">
        <f>IFERROR(IF(VLOOKUP(功能_33[[#This Row],[功能代號]],E:S,11,FALSE)=0,"",VLOOKUP(功能_33[[#This Row],[功能代號]],E:S,11,FALSE)),"")</f>
        <v>44472</v>
      </c>
      <c r="AJ333" s="283"/>
      <c r="AK333" s="283"/>
      <c r="AL333" s="276"/>
      <c r="AM333" s="283"/>
      <c r="AN333" s="287" t="s">
        <v>566</v>
      </c>
      <c r="AO333" s="288" t="s">
        <v>567</v>
      </c>
      <c r="AQ333" s="507" t="str">
        <f t="shared" si="42"/>
        <v>6-7</v>
      </c>
      <c r="AR333" s="509" t="str">
        <f t="shared" si="43"/>
        <v/>
      </c>
      <c r="AS333" s="511" t="str">
        <f t="shared" si="44"/>
        <v/>
      </c>
      <c r="AT333" s="513" t="str">
        <f t="shared" si="45"/>
        <v/>
      </c>
      <c r="AU333" s="515" t="str">
        <f t="shared" si="46"/>
        <v/>
      </c>
      <c r="AV333" s="517" t="str">
        <f t="shared" si="47"/>
        <v/>
      </c>
      <c r="AW333" s="589" t="str">
        <f>IFERROR(VLOOKUP(功能_33[[#This Row],[功能代號]],SIT_FT!D:D,1,FALSE),"")</f>
        <v>L6074</v>
      </c>
    </row>
    <row r="334" spans="1:49" ht="13.5" hidden="1" x14ac:dyDescent="0.3">
      <c r="C334" s="276" t="s">
        <v>82</v>
      </c>
      <c r="D334" s="276" t="s">
        <v>2483</v>
      </c>
      <c r="E334" s="275" t="s">
        <v>564</v>
      </c>
      <c r="F334" s="276" t="s">
        <v>565</v>
      </c>
      <c r="G334" s="276"/>
      <c r="H334" s="275" t="s">
        <v>179</v>
      </c>
      <c r="I334" s="275" t="s">
        <v>300</v>
      </c>
      <c r="J334" s="218" t="s">
        <v>2875</v>
      </c>
      <c r="K334" s="283">
        <v>44566</v>
      </c>
      <c r="L334" s="283">
        <v>44566</v>
      </c>
      <c r="M334" s="283">
        <v>44516</v>
      </c>
      <c r="N334" s="283">
        <v>44467</v>
      </c>
      <c r="O334" s="283">
        <v>44472</v>
      </c>
      <c r="P334" s="275" t="s">
        <v>12</v>
      </c>
      <c r="Q334" s="275" t="s">
        <v>553</v>
      </c>
      <c r="V334" s="275"/>
      <c r="X334" s="275"/>
      <c r="Y334" s="275"/>
      <c r="Z334" s="276" t="str">
        <f>VLOOKUP(功能_33[[#This Row],[User]],SKL放款!A:G,7,FALSE)</f>
        <v>放款審查課</v>
      </c>
      <c r="AA334" s="283">
        <v>44472</v>
      </c>
      <c r="AB334" s="283" t="s">
        <v>119</v>
      </c>
      <c r="AC334" s="268">
        <v>44544</v>
      </c>
      <c r="AD334" s="268">
        <v>44544</v>
      </c>
      <c r="AE334" s="283">
        <v>44550</v>
      </c>
      <c r="AF334" s="283"/>
      <c r="AG334" s="283"/>
      <c r="AH334" s="334"/>
      <c r="AI334" s="283">
        <f>IFERROR(IF(VLOOKUP(功能_33[[#This Row],[功能代號]],E:S,11,FALSE)=0,"",VLOOKUP(功能_33[[#This Row],[功能代號]],E:S,11,FALSE)),"")</f>
        <v>44472</v>
      </c>
      <c r="AJ334" s="283"/>
      <c r="AK334" s="283"/>
      <c r="AL334" s="276"/>
      <c r="AM334" s="283"/>
      <c r="AN334" s="287" t="s">
        <v>566</v>
      </c>
      <c r="AO334" s="288" t="s">
        <v>567</v>
      </c>
      <c r="AQ334" s="507" t="str">
        <f t="shared" si="42"/>
        <v>6-7</v>
      </c>
      <c r="AR334" s="509" t="str">
        <f t="shared" si="43"/>
        <v/>
      </c>
      <c r="AS334" s="511" t="str">
        <f t="shared" si="44"/>
        <v/>
      </c>
      <c r="AT334" s="513" t="str">
        <f t="shared" si="45"/>
        <v/>
      </c>
      <c r="AU334" s="515" t="str">
        <f t="shared" si="46"/>
        <v/>
      </c>
      <c r="AV334" s="517" t="str">
        <f t="shared" si="47"/>
        <v/>
      </c>
      <c r="AW334" s="589" t="str">
        <f>IFERROR(VLOOKUP(功能_33[[#This Row],[功能代號]],SIT_FT!D:D,1,FALSE),"")</f>
        <v>L6075</v>
      </c>
    </row>
    <row r="335" spans="1:49" ht="13.5" hidden="1" x14ac:dyDescent="0.3">
      <c r="C335" s="276" t="s">
        <v>81</v>
      </c>
      <c r="D335" s="276" t="s">
        <v>2485</v>
      </c>
      <c r="E335" s="275" t="s">
        <v>945</v>
      </c>
      <c r="F335" s="276" t="s">
        <v>946</v>
      </c>
      <c r="G335" s="276"/>
      <c r="H335" s="275" t="s">
        <v>179</v>
      </c>
      <c r="I335" s="275" t="s">
        <v>189</v>
      </c>
      <c r="J335" s="282" t="s">
        <v>2774</v>
      </c>
      <c r="K335" s="283">
        <v>44571</v>
      </c>
      <c r="L335" s="283">
        <v>44568</v>
      </c>
      <c r="M335" s="283">
        <v>44524</v>
      </c>
      <c r="N335" s="283">
        <v>44524</v>
      </c>
      <c r="O335" s="283">
        <v>44540</v>
      </c>
      <c r="P335" s="275" t="s">
        <v>12</v>
      </c>
      <c r="Q335" s="275" t="s">
        <v>24</v>
      </c>
      <c r="V335" s="275"/>
      <c r="X335" s="275"/>
      <c r="Y335" s="275"/>
      <c r="Z335" s="276" t="str">
        <f>VLOOKUP(功能_33[[#This Row],[User]],SKL放款!A:G,7,FALSE)</f>
        <v>放款服務課</v>
      </c>
      <c r="AA335" s="283">
        <v>44533</v>
      </c>
      <c r="AB335" s="283">
        <v>44531</v>
      </c>
      <c r="AC335" s="283">
        <v>44531</v>
      </c>
      <c r="AD335" s="283">
        <v>44531</v>
      </c>
      <c r="AE335" s="283">
        <v>44544</v>
      </c>
      <c r="AF335" s="283"/>
      <c r="AG335" s="283"/>
      <c r="AH335" s="334"/>
      <c r="AI335" s="283">
        <f>IFERROR(IF(VLOOKUP(功能_33[[#This Row],[功能代號]],E:S,11,FALSE)=0,"",VLOOKUP(功能_33[[#This Row],[功能代號]],E:S,11,FALSE)),"")</f>
        <v>44540</v>
      </c>
      <c r="AJ335" s="283"/>
      <c r="AK335" s="283"/>
      <c r="AL335" s="276"/>
      <c r="AM335" s="283"/>
      <c r="AN335" s="275" t="s">
        <v>2623</v>
      </c>
      <c r="AQ335" s="507" t="str">
        <f t="shared" si="42"/>
        <v>5-1</v>
      </c>
      <c r="AR335" s="509" t="str">
        <f t="shared" si="43"/>
        <v/>
      </c>
      <c r="AS335" s="511" t="str">
        <f t="shared" si="44"/>
        <v/>
      </c>
      <c r="AT335" s="513" t="str">
        <f t="shared" si="45"/>
        <v/>
      </c>
      <c r="AU335" s="515" t="str">
        <f t="shared" si="46"/>
        <v/>
      </c>
      <c r="AV335" s="517" t="str">
        <f t="shared" si="47"/>
        <v/>
      </c>
      <c r="AW335" s="589" t="str">
        <f>IFERROR(VLOOKUP(功能_33[[#This Row],[功能代號]],SIT_FT!D:D,1,FALSE),"")</f>
        <v/>
      </c>
    </row>
    <row r="336" spans="1:49" ht="13.5" hidden="1" x14ac:dyDescent="0.3">
      <c r="C336" s="276" t="s">
        <v>82</v>
      </c>
      <c r="D336" s="276" t="s">
        <v>2483</v>
      </c>
      <c r="E336" s="275" t="s">
        <v>542</v>
      </c>
      <c r="F336" s="276" t="s">
        <v>543</v>
      </c>
      <c r="G336" s="276"/>
      <c r="H336" s="275" t="s">
        <v>179</v>
      </c>
      <c r="I336" s="275" t="s">
        <v>300</v>
      </c>
      <c r="J336" s="218" t="s">
        <v>2875</v>
      </c>
      <c r="K336" s="283">
        <v>44567</v>
      </c>
      <c r="L336" s="283">
        <v>44567</v>
      </c>
      <c r="M336" s="283">
        <v>44515</v>
      </c>
      <c r="N336" s="283">
        <v>44466</v>
      </c>
      <c r="O336" s="283">
        <v>44466</v>
      </c>
      <c r="P336" s="275" t="s">
        <v>12</v>
      </c>
      <c r="Q336" s="275" t="s">
        <v>11</v>
      </c>
      <c r="V336" s="275"/>
      <c r="X336" s="275"/>
      <c r="Y336" s="275"/>
      <c r="Z336" s="276" t="str">
        <f>VLOOKUP(功能_33[[#This Row],[User]],SKL放款!A:G,7,FALSE)</f>
        <v>放款服務課</v>
      </c>
      <c r="AA336" s="283">
        <v>44533</v>
      </c>
      <c r="AB336" s="283" t="s">
        <v>181</v>
      </c>
      <c r="AC336" s="283">
        <v>44529</v>
      </c>
      <c r="AD336" s="283">
        <v>44529</v>
      </c>
      <c r="AE336" s="283">
        <v>44550</v>
      </c>
      <c r="AF336" s="283"/>
      <c r="AG336" s="283"/>
      <c r="AH336" s="334"/>
      <c r="AI336" s="283">
        <f>IFERROR(IF(VLOOKUP(功能_33[[#This Row],[功能代號]],E:S,11,FALSE)=0,"",VLOOKUP(功能_33[[#This Row],[功能代號]],E:S,11,FALSE)),"")</f>
        <v>44466</v>
      </c>
      <c r="AJ336" s="283"/>
      <c r="AK336" s="283"/>
      <c r="AL336" s="276"/>
      <c r="AM336" s="283"/>
      <c r="AN336" s="287" t="s">
        <v>544</v>
      </c>
      <c r="AO336" s="288" t="s">
        <v>545</v>
      </c>
      <c r="AQ336" s="507" t="str">
        <f t="shared" si="42"/>
        <v>6-7</v>
      </c>
      <c r="AR336" s="509" t="str">
        <f t="shared" si="43"/>
        <v/>
      </c>
      <c r="AS336" s="511" t="str">
        <f t="shared" si="44"/>
        <v/>
      </c>
      <c r="AT336" s="513" t="str">
        <f t="shared" si="45"/>
        <v/>
      </c>
      <c r="AU336" s="515" t="str">
        <f t="shared" si="46"/>
        <v/>
      </c>
      <c r="AV336" s="517" t="str">
        <f t="shared" si="47"/>
        <v/>
      </c>
      <c r="AW336" s="589" t="str">
        <f>IFERROR(VLOOKUP(功能_33[[#This Row],[功能代號]],SIT_FT!D:D,1,FALSE),"")</f>
        <v>L6077</v>
      </c>
    </row>
    <row r="337" spans="3:49" ht="13.5" hidden="1" x14ac:dyDescent="0.3">
      <c r="C337" s="276" t="s">
        <v>82</v>
      </c>
      <c r="D337" s="276" t="s">
        <v>2483</v>
      </c>
      <c r="E337" s="275" t="s">
        <v>547</v>
      </c>
      <c r="F337" s="276" t="s">
        <v>548</v>
      </c>
      <c r="G337" s="276"/>
      <c r="H337" s="275" t="s">
        <v>179</v>
      </c>
      <c r="I337" s="275" t="s">
        <v>300</v>
      </c>
      <c r="J337" s="218" t="s">
        <v>2875</v>
      </c>
      <c r="K337" s="283">
        <v>44567</v>
      </c>
      <c r="L337" s="283">
        <v>44567</v>
      </c>
      <c r="M337" s="283">
        <v>44515</v>
      </c>
      <c r="N337" s="283">
        <v>44466</v>
      </c>
      <c r="O337" s="283">
        <v>44466</v>
      </c>
      <c r="P337" s="275" t="s">
        <v>7</v>
      </c>
      <c r="Q337" s="275" t="s">
        <v>11</v>
      </c>
      <c r="V337" s="275"/>
      <c r="X337" s="275"/>
      <c r="Y337" s="275"/>
      <c r="Z337" s="276" t="str">
        <f>VLOOKUP(功能_33[[#This Row],[User]],SKL放款!A:G,7,FALSE)</f>
        <v>放款服務課</v>
      </c>
      <c r="AA337" s="283">
        <v>44533</v>
      </c>
      <c r="AB337" s="283" t="s">
        <v>181</v>
      </c>
      <c r="AC337" s="283">
        <v>44529</v>
      </c>
      <c r="AD337" s="283">
        <v>44529</v>
      </c>
      <c r="AE337" s="283">
        <v>44550</v>
      </c>
      <c r="AF337" s="283"/>
      <c r="AG337" s="283"/>
      <c r="AH337" s="334"/>
      <c r="AI337" s="283">
        <f>IFERROR(IF(VLOOKUP(功能_33[[#This Row],[功能代號]],E:S,11,FALSE)=0,"",VLOOKUP(功能_33[[#This Row],[功能代號]],E:S,11,FALSE)),"")</f>
        <v>44466</v>
      </c>
      <c r="AJ337" s="283"/>
      <c r="AK337" s="283"/>
      <c r="AL337" s="276"/>
      <c r="AM337" s="283"/>
      <c r="AN337" s="275" t="s">
        <v>176</v>
      </c>
      <c r="AQ337" s="507" t="str">
        <f t="shared" si="42"/>
        <v>6-7</v>
      </c>
      <c r="AR337" s="509" t="str">
        <f t="shared" si="43"/>
        <v/>
      </c>
      <c r="AS337" s="511" t="str">
        <f t="shared" si="44"/>
        <v/>
      </c>
      <c r="AT337" s="513" t="str">
        <f t="shared" si="45"/>
        <v/>
      </c>
      <c r="AU337" s="515" t="str">
        <f t="shared" si="46"/>
        <v/>
      </c>
      <c r="AV337" s="517" t="str">
        <f t="shared" si="47"/>
        <v/>
      </c>
      <c r="AW337" s="589" t="str">
        <f>IFERROR(VLOOKUP(功能_33[[#This Row],[功能代號]],SIT_FT!D:D,1,FALSE),"")</f>
        <v>L6078</v>
      </c>
    </row>
    <row r="338" spans="3:49" ht="13.5" hidden="1" x14ac:dyDescent="0.3">
      <c r="C338" s="276" t="s">
        <v>82</v>
      </c>
      <c r="D338" s="276" t="s">
        <v>2483</v>
      </c>
      <c r="E338" s="275" t="s">
        <v>600</v>
      </c>
      <c r="F338" s="276" t="s">
        <v>601</v>
      </c>
      <c r="G338" s="276"/>
      <c r="H338" s="275" t="s">
        <v>179</v>
      </c>
      <c r="I338" s="275" t="s">
        <v>300</v>
      </c>
      <c r="J338" s="218" t="s">
        <v>2875</v>
      </c>
      <c r="K338" s="283">
        <v>44567</v>
      </c>
      <c r="L338" s="283">
        <v>44567</v>
      </c>
      <c r="M338" s="283">
        <v>44516</v>
      </c>
      <c r="N338" s="283">
        <v>44467</v>
      </c>
      <c r="O338" s="283">
        <v>44467</v>
      </c>
      <c r="P338" s="275" t="s">
        <v>12</v>
      </c>
      <c r="Q338" s="275" t="s">
        <v>158</v>
      </c>
      <c r="V338" s="275"/>
      <c r="X338" s="275"/>
      <c r="Y338" s="275"/>
      <c r="Z338" s="276" t="str">
        <f>VLOOKUP(功能_33[[#This Row],[User]],SKL放款!A:G,7,FALSE)</f>
        <v>放款服務課</v>
      </c>
      <c r="AA338" s="283">
        <v>44533</v>
      </c>
      <c r="AB338" s="283" t="s">
        <v>181</v>
      </c>
      <c r="AC338" s="283">
        <v>44529</v>
      </c>
      <c r="AD338" s="283">
        <v>44529</v>
      </c>
      <c r="AE338" s="283">
        <v>44550</v>
      </c>
      <c r="AF338" s="283"/>
      <c r="AG338" s="283"/>
      <c r="AH338" s="334"/>
      <c r="AI338" s="283">
        <f>IFERROR(IF(VLOOKUP(功能_33[[#This Row],[功能代號]],E:S,11,FALSE)=0,"",VLOOKUP(功能_33[[#This Row],[功能代號]],E:S,11,FALSE)),"")</f>
        <v>44467</v>
      </c>
      <c r="AJ338" s="283"/>
      <c r="AK338" s="283"/>
      <c r="AL338" s="276"/>
      <c r="AM338" s="283"/>
      <c r="AN338" s="287" t="s">
        <v>602</v>
      </c>
      <c r="AO338" s="288" t="s">
        <v>603</v>
      </c>
      <c r="AQ338" s="507" t="str">
        <f t="shared" si="42"/>
        <v>6-7</v>
      </c>
      <c r="AR338" s="509" t="str">
        <f t="shared" si="43"/>
        <v/>
      </c>
      <c r="AS338" s="511" t="str">
        <f t="shared" si="44"/>
        <v/>
      </c>
      <c r="AT338" s="513" t="str">
        <f t="shared" si="45"/>
        <v/>
      </c>
      <c r="AU338" s="515" t="str">
        <f t="shared" si="46"/>
        <v/>
      </c>
      <c r="AV338" s="517" t="str">
        <f t="shared" si="47"/>
        <v/>
      </c>
      <c r="AW338" s="589" t="str">
        <f>IFERROR(VLOOKUP(功能_33[[#This Row],[功能代號]],SIT_FT!D:D,1,FALSE),"")</f>
        <v>L6079</v>
      </c>
    </row>
    <row r="339" spans="3:49" ht="13.5" hidden="1" x14ac:dyDescent="0.3">
      <c r="C339" s="276" t="s">
        <v>82</v>
      </c>
      <c r="D339" s="431" t="s">
        <v>2483</v>
      </c>
      <c r="E339" s="275" t="s">
        <v>1031</v>
      </c>
      <c r="F339" s="276" t="s">
        <v>1032</v>
      </c>
      <c r="G339" s="276"/>
      <c r="H339" s="275" t="s">
        <v>179</v>
      </c>
      <c r="I339" s="275" t="s">
        <v>300</v>
      </c>
      <c r="J339" s="218" t="s">
        <v>2875</v>
      </c>
      <c r="K339" s="283">
        <v>44565</v>
      </c>
      <c r="L339" s="283">
        <v>44565</v>
      </c>
      <c r="M339" s="283">
        <v>44397</v>
      </c>
      <c r="N339" s="283">
        <v>44397</v>
      </c>
      <c r="O339" s="283">
        <v>44398</v>
      </c>
      <c r="P339" s="275" t="s">
        <v>8</v>
      </c>
      <c r="Q339" s="275" t="s">
        <v>2964</v>
      </c>
      <c r="V339" s="275"/>
      <c r="X339" s="275"/>
      <c r="Y339" s="275"/>
      <c r="Z339" s="276" t="str">
        <f>VLOOKUP(功能_33[[#This Row],[User]],SKL放款!A:G,7,FALSE)</f>
        <v>放款推展課</v>
      </c>
      <c r="AA339" s="283">
        <v>44533</v>
      </c>
      <c r="AB339" s="283" t="s">
        <v>181</v>
      </c>
      <c r="AC339" s="283">
        <v>44397</v>
      </c>
      <c r="AD339" s="283">
        <v>44397</v>
      </c>
      <c r="AE339" s="283">
        <v>44550</v>
      </c>
      <c r="AF339" s="283"/>
      <c r="AG339" s="283"/>
      <c r="AH339" s="334"/>
      <c r="AI339" s="283">
        <f>IFERROR(IF(VLOOKUP(功能_33[[#This Row],[功能代號]],E:S,11,FALSE)=0,"",VLOOKUP(功能_33[[#This Row],[功能代號]],E:S,11,FALSE)),"")</f>
        <v>44398</v>
      </c>
      <c r="AJ339" s="283"/>
      <c r="AK339" s="283"/>
      <c r="AL339" s="276"/>
      <c r="AM339" s="283">
        <v>44397</v>
      </c>
      <c r="AN339" s="275" t="s">
        <v>176</v>
      </c>
      <c r="AQ339" s="507" t="str">
        <f t="shared" si="42"/>
        <v>6-7</v>
      </c>
      <c r="AR339" s="509" t="str">
        <f t="shared" si="43"/>
        <v/>
      </c>
      <c r="AS339" s="511" t="str">
        <f t="shared" si="44"/>
        <v/>
      </c>
      <c r="AT339" s="513" t="str">
        <f t="shared" si="45"/>
        <v/>
      </c>
      <c r="AU339" s="515" t="str">
        <f t="shared" si="46"/>
        <v/>
      </c>
      <c r="AV339" s="517" t="str">
        <f t="shared" si="47"/>
        <v/>
      </c>
      <c r="AW339" s="589" t="str">
        <f>IFERROR(VLOOKUP(功能_33[[#This Row],[功能代號]],SIT_FT!D:D,1,FALSE),"")</f>
        <v>L6081</v>
      </c>
    </row>
    <row r="340" spans="3:49" ht="13.5" hidden="1" x14ac:dyDescent="0.3">
      <c r="C340" s="276" t="s">
        <v>82</v>
      </c>
      <c r="D340" s="276" t="s">
        <v>2483</v>
      </c>
      <c r="E340" s="275" t="s">
        <v>995</v>
      </c>
      <c r="F340" s="276" t="s">
        <v>996</v>
      </c>
      <c r="G340" s="276"/>
      <c r="H340" s="275" t="s">
        <v>179</v>
      </c>
      <c r="I340" s="275" t="s">
        <v>300</v>
      </c>
      <c r="J340" s="218" t="s">
        <v>2875</v>
      </c>
      <c r="K340" s="283">
        <v>44565</v>
      </c>
      <c r="L340" s="283">
        <v>44565</v>
      </c>
      <c r="M340" s="283">
        <v>44396</v>
      </c>
      <c r="N340" s="283">
        <v>44396</v>
      </c>
      <c r="O340" s="283">
        <v>44402</v>
      </c>
      <c r="P340" s="275" t="s">
        <v>12</v>
      </c>
      <c r="Q340" s="258" t="s">
        <v>2810</v>
      </c>
      <c r="S340" s="275">
        <v>1</v>
      </c>
      <c r="T340" s="275" t="s">
        <v>997</v>
      </c>
      <c r="V340" s="275"/>
      <c r="X340" s="275"/>
      <c r="Y340" s="275"/>
      <c r="Z340" s="276" t="e">
        <f>VLOOKUP(功能_33[[#This Row],[User]],SKL放款!A:G,7,FALSE)</f>
        <v>#N/A</v>
      </c>
      <c r="AA340" s="283">
        <v>44402</v>
      </c>
      <c r="AB340" s="283" t="s">
        <v>119</v>
      </c>
      <c r="AC340" s="268">
        <v>44550</v>
      </c>
      <c r="AD340" s="283">
        <v>44550</v>
      </c>
      <c r="AE340" s="283">
        <v>44550</v>
      </c>
      <c r="AF340" s="283"/>
      <c r="AG340" s="283"/>
      <c r="AH340" s="334"/>
      <c r="AI340" s="283">
        <f>IFERROR(IF(VLOOKUP(功能_33[[#This Row],[功能代號]],E:S,11,FALSE)=0,"",VLOOKUP(功能_33[[#This Row],[功能代號]],E:S,11,FALSE)),"")</f>
        <v>44402</v>
      </c>
      <c r="AJ340" s="283"/>
      <c r="AK340" s="283"/>
      <c r="AL340" s="276"/>
      <c r="AM340" s="283">
        <v>44396</v>
      </c>
      <c r="AN340" s="287" t="s">
        <v>998</v>
      </c>
      <c r="AO340" s="288" t="s">
        <v>999</v>
      </c>
      <c r="AQ340" s="507" t="str">
        <f t="shared" si="42"/>
        <v>6-7</v>
      </c>
      <c r="AR340" s="509" t="str">
        <f t="shared" si="43"/>
        <v/>
      </c>
      <c r="AS340" s="511" t="str">
        <f t="shared" si="44"/>
        <v/>
      </c>
      <c r="AT340" s="513" t="str">
        <f t="shared" si="45"/>
        <v/>
      </c>
      <c r="AU340" s="515" t="str">
        <f t="shared" si="46"/>
        <v/>
      </c>
      <c r="AV340" s="517" t="str">
        <f t="shared" si="47"/>
        <v/>
      </c>
      <c r="AW340" s="589" t="str">
        <f>IFERROR(VLOOKUP(功能_33[[#This Row],[功能代號]],SIT_FT!D:D,1,FALSE),"")</f>
        <v>L6082</v>
      </c>
    </row>
    <row r="341" spans="3:49" ht="13.5" hidden="1" x14ac:dyDescent="0.3">
      <c r="C341" s="276" t="s">
        <v>82</v>
      </c>
      <c r="D341" s="431" t="s">
        <v>2483</v>
      </c>
      <c r="E341" s="275" t="s">
        <v>1023</v>
      </c>
      <c r="F341" s="276" t="s">
        <v>1024</v>
      </c>
      <c r="G341" s="276"/>
      <c r="H341" s="275" t="s">
        <v>179</v>
      </c>
      <c r="I341" s="275" t="s">
        <v>300</v>
      </c>
      <c r="J341" s="218" t="s">
        <v>2875</v>
      </c>
      <c r="K341" s="283">
        <v>44565</v>
      </c>
      <c r="L341" s="283">
        <v>44565</v>
      </c>
      <c r="M341" s="283">
        <v>44398</v>
      </c>
      <c r="N341" s="283">
        <v>44398</v>
      </c>
      <c r="O341" s="283">
        <v>44402</v>
      </c>
      <c r="P341" s="275" t="s">
        <v>12</v>
      </c>
      <c r="Q341" s="275" t="s">
        <v>2964</v>
      </c>
      <c r="V341" s="275"/>
      <c r="X341" s="275"/>
      <c r="Y341" s="275"/>
      <c r="Z341" s="276" t="str">
        <f>VLOOKUP(功能_33[[#This Row],[User]],SKL放款!A:G,7,FALSE)</f>
        <v>放款推展課</v>
      </c>
      <c r="AA341" s="283">
        <v>44402</v>
      </c>
      <c r="AB341" s="283" t="s">
        <v>181</v>
      </c>
      <c r="AC341" s="283">
        <v>44398</v>
      </c>
      <c r="AD341" s="283">
        <v>44398</v>
      </c>
      <c r="AE341" s="283">
        <v>44550</v>
      </c>
      <c r="AF341" s="283"/>
      <c r="AG341" s="283"/>
      <c r="AH341" s="334"/>
      <c r="AI341" s="283">
        <f>IFERROR(IF(VLOOKUP(功能_33[[#This Row],[功能代號]],E:S,11,FALSE)=0,"",VLOOKUP(功能_33[[#This Row],[功能代號]],E:S,11,FALSE)),"")</f>
        <v>44402</v>
      </c>
      <c r="AJ341" s="283"/>
      <c r="AK341" s="283"/>
      <c r="AL341" s="276"/>
      <c r="AM341" s="283">
        <v>44398</v>
      </c>
      <c r="AN341" s="275" t="s">
        <v>176</v>
      </c>
      <c r="AQ341" s="507" t="str">
        <f t="shared" si="42"/>
        <v>6-7</v>
      </c>
      <c r="AR341" s="509" t="str">
        <f t="shared" si="43"/>
        <v/>
      </c>
      <c r="AS341" s="511" t="str">
        <f t="shared" si="44"/>
        <v/>
      </c>
      <c r="AT341" s="513" t="str">
        <f t="shared" si="45"/>
        <v/>
      </c>
      <c r="AU341" s="515" t="str">
        <f t="shared" si="46"/>
        <v/>
      </c>
      <c r="AV341" s="517" t="str">
        <f t="shared" si="47"/>
        <v/>
      </c>
      <c r="AW341" s="589" t="str">
        <f>IFERROR(VLOOKUP(功能_33[[#This Row],[功能代號]],SIT_FT!D:D,1,FALSE),"")</f>
        <v>L6084</v>
      </c>
    </row>
    <row r="342" spans="3:49" ht="13.5" hidden="1" x14ac:dyDescent="0.3">
      <c r="C342" s="276" t="s">
        <v>81</v>
      </c>
      <c r="D342" s="276" t="s">
        <v>2485</v>
      </c>
      <c r="E342" s="275" t="s">
        <v>962</v>
      </c>
      <c r="F342" s="276" t="s">
        <v>963</v>
      </c>
      <c r="G342" s="276"/>
      <c r="H342" s="275" t="s">
        <v>179</v>
      </c>
      <c r="I342" s="275" t="s">
        <v>123</v>
      </c>
      <c r="J342" s="282" t="s">
        <v>2774</v>
      </c>
      <c r="K342" s="283">
        <v>44575</v>
      </c>
      <c r="L342" s="283">
        <v>44572</v>
      </c>
      <c r="M342" s="283">
        <v>44504</v>
      </c>
      <c r="N342" s="283">
        <v>44503</v>
      </c>
      <c r="O342" s="283">
        <v>44533</v>
      </c>
      <c r="P342" s="275" t="s">
        <v>8</v>
      </c>
      <c r="Q342" s="275" t="s">
        <v>28</v>
      </c>
      <c r="V342" s="275"/>
      <c r="X342" s="275"/>
      <c r="Y342" s="275"/>
      <c r="Z342" s="276" t="str">
        <f>VLOOKUP(功能_33[[#This Row],[User]],SKL放款!A:G,7,FALSE)</f>
        <v>放款審查課</v>
      </c>
      <c r="AA342" s="283">
        <v>44533</v>
      </c>
      <c r="AB342" s="283">
        <v>44526</v>
      </c>
      <c r="AC342" s="283">
        <v>44526</v>
      </c>
      <c r="AD342" s="283">
        <v>44526</v>
      </c>
      <c r="AE342" s="283">
        <v>44544</v>
      </c>
      <c r="AF342" s="283"/>
      <c r="AG342" s="283"/>
      <c r="AH342" s="334"/>
      <c r="AI342" s="283">
        <f>IFERROR(IF(VLOOKUP(功能_33[[#This Row],[功能代號]],E:S,11,FALSE)=0,"",VLOOKUP(功能_33[[#This Row],[功能代號]],E:S,11,FALSE)),"")</f>
        <v>44533</v>
      </c>
      <c r="AJ342" s="283"/>
      <c r="AK342" s="283"/>
      <c r="AL342" s="276"/>
      <c r="AM342" s="283"/>
      <c r="AN342" s="287" t="s">
        <v>964</v>
      </c>
      <c r="AO342" s="288" t="s">
        <v>965</v>
      </c>
      <c r="AQ342" s="507" t="str">
        <f t="shared" si="42"/>
        <v>5-1</v>
      </c>
      <c r="AR342" s="509" t="str">
        <f t="shared" si="43"/>
        <v/>
      </c>
      <c r="AS342" s="511" t="str">
        <f t="shared" si="44"/>
        <v/>
      </c>
      <c r="AT342" s="513" t="str">
        <f t="shared" si="45"/>
        <v/>
      </c>
      <c r="AU342" s="515" t="str">
        <f t="shared" si="46"/>
        <v/>
      </c>
      <c r="AV342" s="517" t="str">
        <f t="shared" si="47"/>
        <v/>
      </c>
      <c r="AW342" s="589" t="str">
        <f>IFERROR(VLOOKUP(功能_33[[#This Row],[功能代號]],SIT_FT!D:D,1,FALSE),"")</f>
        <v>L5902</v>
      </c>
    </row>
    <row r="343" spans="3:49" ht="13.5" hidden="1" x14ac:dyDescent="0.3">
      <c r="C343" s="276" t="s">
        <v>81</v>
      </c>
      <c r="D343" s="276" t="s">
        <v>2485</v>
      </c>
      <c r="E343" s="275" t="s">
        <v>966</v>
      </c>
      <c r="F343" s="276" t="s">
        <v>967</v>
      </c>
      <c r="G343" s="276"/>
      <c r="H343" s="275" t="s">
        <v>179</v>
      </c>
      <c r="I343" s="275" t="s">
        <v>123</v>
      </c>
      <c r="J343" s="218" t="s">
        <v>2978</v>
      </c>
      <c r="K343" s="283">
        <v>44582</v>
      </c>
      <c r="L343" s="283"/>
      <c r="M343" s="283">
        <v>44504</v>
      </c>
      <c r="N343" s="283">
        <v>44503</v>
      </c>
      <c r="O343" s="283">
        <v>44533</v>
      </c>
      <c r="P343" s="275" t="s">
        <v>8</v>
      </c>
      <c r="Q343" s="275" t="s">
        <v>28</v>
      </c>
      <c r="V343" s="275"/>
      <c r="X343" s="275"/>
      <c r="Y343" s="275"/>
      <c r="Z343" s="276" t="str">
        <f>VLOOKUP(功能_33[[#This Row],[User]],SKL放款!A:G,7,FALSE)</f>
        <v>放款審查課</v>
      </c>
      <c r="AA343" s="283">
        <v>44533</v>
      </c>
      <c r="AB343" s="283">
        <v>44526</v>
      </c>
      <c r="AC343" s="283">
        <v>44526</v>
      </c>
      <c r="AD343" s="283">
        <v>44526</v>
      </c>
      <c r="AE343" s="215" t="s">
        <v>3002</v>
      </c>
      <c r="AF343" s="283"/>
      <c r="AG343" s="283"/>
      <c r="AH343" s="334"/>
      <c r="AI343" s="283">
        <f>IFERROR(IF(VLOOKUP(功能_33[[#This Row],[功能代號]],E:S,11,FALSE)=0,"",VLOOKUP(功能_33[[#This Row],[功能代號]],E:S,11,FALSE)),"")</f>
        <v>44533</v>
      </c>
      <c r="AJ343" s="283"/>
      <c r="AK343" s="283"/>
      <c r="AL343" s="276"/>
      <c r="AM343" s="283"/>
      <c r="AN343" s="287" t="s">
        <v>964</v>
      </c>
      <c r="AO343" s="288" t="s">
        <v>965</v>
      </c>
      <c r="AQ343" s="507" t="str">
        <f t="shared" si="42"/>
        <v>5-1</v>
      </c>
      <c r="AR343" s="509" t="str">
        <f t="shared" si="43"/>
        <v/>
      </c>
      <c r="AS343" s="511" t="str">
        <f t="shared" si="44"/>
        <v/>
      </c>
      <c r="AT343" s="513" t="str">
        <f t="shared" si="45"/>
        <v/>
      </c>
      <c r="AU343" s="515" t="str">
        <f t="shared" si="46"/>
        <v/>
      </c>
      <c r="AV343" s="517" t="str">
        <f t="shared" si="47"/>
        <v/>
      </c>
      <c r="AW343" s="589" t="str">
        <f>IFERROR(VLOOKUP(功能_33[[#This Row],[功能代號]],SIT_FT!D:D,1,FALSE),"")</f>
        <v>L5102</v>
      </c>
    </row>
    <row r="344" spans="3:49" ht="13.5" hidden="1" x14ac:dyDescent="0.3">
      <c r="C344" s="276" t="s">
        <v>82</v>
      </c>
      <c r="D344" s="276" t="s">
        <v>2483</v>
      </c>
      <c r="E344" s="275" t="s">
        <v>519</v>
      </c>
      <c r="F344" s="276" t="s">
        <v>520</v>
      </c>
      <c r="G344" s="276"/>
      <c r="H344" s="275" t="s">
        <v>179</v>
      </c>
      <c r="I344" s="275" t="s">
        <v>300</v>
      </c>
      <c r="J344" s="218" t="s">
        <v>2875</v>
      </c>
      <c r="K344" s="283">
        <v>44565</v>
      </c>
      <c r="L344" s="283">
        <v>44565</v>
      </c>
      <c r="M344" s="283">
        <v>44515</v>
      </c>
      <c r="N344" s="283">
        <v>44466</v>
      </c>
      <c r="O344" s="283">
        <f>IFERROR(IF(VLOOKUP(功能_33[[#This Row],[功能代號]],討論項目!A:H,8,FALSE)=0,"",VLOOKUP(功能_33[[#This Row],[功能代號]],討論項目!A:H,8,FALSE)),"")</f>
        <v>44475</v>
      </c>
      <c r="P344" s="275" t="s">
        <v>12</v>
      </c>
      <c r="Q344" s="275" t="s">
        <v>13</v>
      </c>
      <c r="V344" s="275"/>
      <c r="X344" s="275"/>
      <c r="Y344" s="275"/>
      <c r="Z344" s="276" t="str">
        <f>VLOOKUP(功能_33[[#This Row],[User]],SKL放款!A:G,7,FALSE)</f>
        <v>放款推展課</v>
      </c>
      <c r="AA344" s="283">
        <v>44533</v>
      </c>
      <c r="AB344" s="283">
        <v>44533</v>
      </c>
      <c r="AC344" s="283">
        <v>44533</v>
      </c>
      <c r="AD344" s="283">
        <v>44533</v>
      </c>
      <c r="AE344" s="283">
        <v>44550</v>
      </c>
      <c r="AF344" s="283"/>
      <c r="AG344" s="283"/>
      <c r="AH344" s="334"/>
      <c r="AI344" s="283">
        <f>IFERROR(IF(VLOOKUP(功能_33[[#This Row],[功能代號]],E:S,11,FALSE)=0,"",VLOOKUP(功能_33[[#This Row],[功能代號]],E:S,11,FALSE)),"")</f>
        <v>44475</v>
      </c>
      <c r="AJ344" s="283"/>
      <c r="AK344" s="283"/>
      <c r="AL344" s="276"/>
      <c r="AM344" s="283"/>
      <c r="AN344" s="287" t="s">
        <v>522</v>
      </c>
      <c r="AO344" s="288" t="s">
        <v>523</v>
      </c>
      <c r="AQ344" s="507" t="str">
        <f t="shared" si="42"/>
        <v>6-7</v>
      </c>
      <c r="AR344" s="509" t="str">
        <f t="shared" si="43"/>
        <v/>
      </c>
      <c r="AS344" s="511" t="str">
        <f t="shared" si="44"/>
        <v/>
      </c>
      <c r="AT344" s="513" t="str">
        <f t="shared" si="45"/>
        <v/>
      </c>
      <c r="AU344" s="515" t="str">
        <f t="shared" si="46"/>
        <v/>
      </c>
      <c r="AV344" s="517" t="str">
        <f t="shared" si="47"/>
        <v/>
      </c>
      <c r="AW344" s="589" t="str">
        <f>IFERROR(VLOOKUP(功能_33[[#This Row],[功能代號]],SIT_FT!D:D,1,FALSE),"")</f>
        <v>L6085</v>
      </c>
    </row>
    <row r="345" spans="3:49" ht="13.5" hidden="1" x14ac:dyDescent="0.3">
      <c r="C345" s="276" t="s">
        <v>82</v>
      </c>
      <c r="D345" s="276" t="s">
        <v>2483</v>
      </c>
      <c r="E345" s="275" t="s">
        <v>526</v>
      </c>
      <c r="F345" s="276" t="s">
        <v>527</v>
      </c>
      <c r="G345" s="276"/>
      <c r="H345" s="275" t="s">
        <v>179</v>
      </c>
      <c r="I345" s="275" t="s">
        <v>300</v>
      </c>
      <c r="J345" s="218" t="s">
        <v>2875</v>
      </c>
      <c r="K345" s="283">
        <v>44565</v>
      </c>
      <c r="L345" s="283">
        <v>44565</v>
      </c>
      <c r="M345" s="283">
        <v>44515</v>
      </c>
      <c r="N345" s="283">
        <v>44466</v>
      </c>
      <c r="O345" s="283">
        <f>IFERROR(IF(VLOOKUP(功能_33[[#This Row],[功能代號]],討論項目!A:H,8,FALSE)=0,"",VLOOKUP(功能_33[[#This Row],[功能代號]],討論項目!A:H,8,FALSE)),"")</f>
        <v>44475</v>
      </c>
      <c r="P345" s="275" t="s">
        <v>12</v>
      </c>
      <c r="Q345" s="275" t="s">
        <v>13</v>
      </c>
      <c r="V345" s="275"/>
      <c r="X345" s="275"/>
      <c r="Y345" s="275"/>
      <c r="Z345" s="276" t="str">
        <f>VLOOKUP(功能_33[[#This Row],[User]],SKL放款!A:G,7,FALSE)</f>
        <v>放款推展課</v>
      </c>
      <c r="AA345" s="283">
        <v>44533</v>
      </c>
      <c r="AB345" s="283">
        <v>44533</v>
      </c>
      <c r="AC345" s="283">
        <v>44533</v>
      </c>
      <c r="AD345" s="283">
        <v>44533</v>
      </c>
      <c r="AE345" s="283">
        <v>44550</v>
      </c>
      <c r="AF345" s="283"/>
      <c r="AG345" s="283"/>
      <c r="AH345" s="334"/>
      <c r="AI345" s="283">
        <f>IFERROR(IF(VLOOKUP(功能_33[[#This Row],[功能代號]],E:S,11,FALSE)=0,"",VLOOKUP(功能_33[[#This Row],[功能代號]],E:S,11,FALSE)),"")</f>
        <v>44475</v>
      </c>
      <c r="AJ345" s="283"/>
      <c r="AK345" s="283"/>
      <c r="AL345" s="276"/>
      <c r="AM345" s="283"/>
      <c r="AN345" s="275" t="s">
        <v>176</v>
      </c>
      <c r="AQ345" s="507" t="str">
        <f t="shared" si="42"/>
        <v>6-7</v>
      </c>
      <c r="AR345" s="509" t="str">
        <f t="shared" si="43"/>
        <v/>
      </c>
      <c r="AS345" s="511" t="str">
        <f t="shared" si="44"/>
        <v/>
      </c>
      <c r="AT345" s="513" t="str">
        <f t="shared" si="45"/>
        <v/>
      </c>
      <c r="AU345" s="515" t="str">
        <f t="shared" si="46"/>
        <v/>
      </c>
      <c r="AV345" s="517" t="str">
        <f t="shared" si="47"/>
        <v/>
      </c>
      <c r="AW345" s="589" t="str">
        <f>IFERROR(VLOOKUP(功能_33[[#This Row],[功能代號]],SIT_FT!D:D,1,FALSE),"")</f>
        <v>L6086</v>
      </c>
    </row>
    <row r="346" spans="3:49" ht="13.5" hidden="1" x14ac:dyDescent="0.3">
      <c r="C346" s="276" t="s">
        <v>82</v>
      </c>
      <c r="D346" s="276" t="s">
        <v>2483</v>
      </c>
      <c r="E346" s="275" t="s">
        <v>593</v>
      </c>
      <c r="F346" s="276" t="s">
        <v>592</v>
      </c>
      <c r="G346" s="276"/>
      <c r="H346" s="275" t="s">
        <v>179</v>
      </c>
      <c r="I346" s="275" t="s">
        <v>300</v>
      </c>
      <c r="J346" s="218" t="s">
        <v>2875</v>
      </c>
      <c r="K346" s="283">
        <v>44566</v>
      </c>
      <c r="L346" s="283">
        <v>44566</v>
      </c>
      <c r="M346" s="283">
        <v>44516</v>
      </c>
      <c r="N346" s="283">
        <v>44467</v>
      </c>
      <c r="O346" s="283">
        <v>44467</v>
      </c>
      <c r="P346" s="275" t="s">
        <v>12</v>
      </c>
      <c r="Q346" s="275" t="s">
        <v>158</v>
      </c>
      <c r="V346" s="275"/>
      <c r="X346" s="275"/>
      <c r="Y346" s="275"/>
      <c r="Z346" s="276" t="str">
        <f>VLOOKUP(功能_33[[#This Row],[User]],SKL放款!A:G,7,FALSE)</f>
        <v>放款服務課</v>
      </c>
      <c r="AA346" s="283">
        <v>44533</v>
      </c>
      <c r="AB346" s="283" t="s">
        <v>181</v>
      </c>
      <c r="AC346" s="283">
        <v>44529</v>
      </c>
      <c r="AD346" s="283">
        <v>44529</v>
      </c>
      <c r="AE346" s="283">
        <v>44550</v>
      </c>
      <c r="AF346" s="283"/>
      <c r="AG346" s="283"/>
      <c r="AH346" s="334"/>
      <c r="AI346" s="283">
        <f>IFERROR(IF(VLOOKUP(功能_33[[#This Row],[功能代號]],E:S,11,FALSE)=0,"",VLOOKUP(功能_33[[#This Row],[功能代號]],E:S,11,FALSE)),"")</f>
        <v>44467</v>
      </c>
      <c r="AJ346" s="283"/>
      <c r="AK346" s="283"/>
      <c r="AL346" s="276"/>
      <c r="AM346" s="283"/>
      <c r="AN346" s="287" t="s">
        <v>591</v>
      </c>
      <c r="AO346" s="288" t="s">
        <v>592</v>
      </c>
      <c r="AQ346" s="507" t="str">
        <f t="shared" si="42"/>
        <v>6-7</v>
      </c>
      <c r="AR346" s="509" t="str">
        <f t="shared" si="43"/>
        <v/>
      </c>
      <c r="AS346" s="511" t="str">
        <f t="shared" si="44"/>
        <v/>
      </c>
      <c r="AT346" s="513" t="str">
        <f t="shared" si="45"/>
        <v/>
      </c>
      <c r="AU346" s="515" t="str">
        <f t="shared" si="46"/>
        <v/>
      </c>
      <c r="AV346" s="517" t="str">
        <f t="shared" si="47"/>
        <v/>
      </c>
      <c r="AW346" s="589" t="str">
        <f>IFERROR(VLOOKUP(功能_33[[#This Row],[功能代號]],SIT_FT!D:D,1,FALSE),"")</f>
        <v>L6701</v>
      </c>
    </row>
    <row r="347" spans="3:49" ht="13.5" hidden="1" x14ac:dyDescent="0.3">
      <c r="C347" s="276" t="s">
        <v>81</v>
      </c>
      <c r="D347" s="276" t="s">
        <v>2485</v>
      </c>
      <c r="E347" s="275" t="s">
        <v>978</v>
      </c>
      <c r="F347" s="276" t="s">
        <v>2780</v>
      </c>
      <c r="G347" s="276"/>
      <c r="H347" s="275" t="s">
        <v>179</v>
      </c>
      <c r="I347" s="275" t="s">
        <v>123</v>
      </c>
      <c r="J347" s="282" t="s">
        <v>2774</v>
      </c>
      <c r="K347" s="283">
        <v>44575</v>
      </c>
      <c r="L347" s="283">
        <v>44572</v>
      </c>
      <c r="M347" s="283">
        <v>44505</v>
      </c>
      <c r="N347" s="283">
        <v>44504</v>
      </c>
      <c r="O347" s="283">
        <v>44533</v>
      </c>
      <c r="P347" s="275" t="s">
        <v>10</v>
      </c>
      <c r="Q347" s="275" t="s">
        <v>25</v>
      </c>
      <c r="R347" s="258" t="s">
        <v>21</v>
      </c>
      <c r="V347" s="275"/>
      <c r="X347" s="275"/>
      <c r="Y347" s="275"/>
      <c r="Z347" s="276" t="str">
        <f>VLOOKUP(功能_33[[#This Row],[User]],SKL放款!A:G,7,FALSE)</f>
        <v>放款管理課</v>
      </c>
      <c r="AA347" s="283">
        <v>44533</v>
      </c>
      <c r="AB347" s="283" t="s">
        <v>119</v>
      </c>
      <c r="AC347" s="283">
        <v>44525</v>
      </c>
      <c r="AD347" s="283">
        <v>44525</v>
      </c>
      <c r="AE347" s="283">
        <v>44544</v>
      </c>
      <c r="AF347" s="283"/>
      <c r="AG347" s="283"/>
      <c r="AH347" s="334"/>
      <c r="AI347" s="283">
        <f>IFERROR(IF(VLOOKUP(功能_33[[#This Row],[功能代號]],E:S,11,FALSE)=0,"",VLOOKUP(功能_33[[#This Row],[功能代號]],E:S,11,FALSE)),"")</f>
        <v>44533</v>
      </c>
      <c r="AJ347" s="283"/>
      <c r="AK347" s="283"/>
      <c r="AL347" s="276"/>
      <c r="AM347" s="283"/>
      <c r="AN347" s="287" t="s">
        <v>2787</v>
      </c>
      <c r="AO347" s="276" t="s">
        <v>2788</v>
      </c>
      <c r="AQ347" s="507" t="str">
        <f t="shared" si="42"/>
        <v>5-1</v>
      </c>
      <c r="AR347" s="509" t="str">
        <f t="shared" si="43"/>
        <v/>
      </c>
      <c r="AS347" s="511" t="str">
        <f t="shared" si="44"/>
        <v/>
      </c>
      <c r="AT347" s="513" t="str">
        <f t="shared" si="45"/>
        <v/>
      </c>
      <c r="AU347" s="515" t="str">
        <f t="shared" si="46"/>
        <v/>
      </c>
      <c r="AV347" s="517" t="str">
        <f t="shared" si="47"/>
        <v/>
      </c>
      <c r="AW347" s="589" t="str">
        <f>IFERROR(VLOOKUP(功能_33[[#This Row],[功能代號]],SIT_FT!D:D,1,FALSE),"")</f>
        <v/>
      </c>
    </row>
    <row r="348" spans="3:49" ht="13.5" hidden="1" x14ac:dyDescent="0.3">
      <c r="C348" s="276" t="s">
        <v>81</v>
      </c>
      <c r="D348" s="276" t="s">
        <v>2485</v>
      </c>
      <c r="E348" s="275" t="s">
        <v>979</v>
      </c>
      <c r="F348" s="276" t="s">
        <v>980</v>
      </c>
      <c r="G348" s="276"/>
      <c r="H348" s="275" t="s">
        <v>179</v>
      </c>
      <c r="I348" s="275" t="s">
        <v>123</v>
      </c>
      <c r="J348" s="282" t="s">
        <v>2774</v>
      </c>
      <c r="K348" s="283">
        <v>44582</v>
      </c>
      <c r="L348" s="283"/>
      <c r="M348" s="283">
        <v>44505</v>
      </c>
      <c r="N348" s="283">
        <v>44504</v>
      </c>
      <c r="O348" s="283">
        <v>44533</v>
      </c>
      <c r="P348" s="275" t="s">
        <v>10</v>
      </c>
      <c r="Q348" s="275" t="s">
        <v>25</v>
      </c>
      <c r="R348" s="258" t="s">
        <v>21</v>
      </c>
      <c r="V348" s="275"/>
      <c r="X348" s="275"/>
      <c r="Y348" s="275"/>
      <c r="Z348" s="276" t="str">
        <f>VLOOKUP(功能_33[[#This Row],[User]],SKL放款!A:G,7,FALSE)</f>
        <v>放款管理課</v>
      </c>
      <c r="AA348" s="283">
        <v>44533</v>
      </c>
      <c r="AB348" s="283" t="s">
        <v>119</v>
      </c>
      <c r="AC348" s="283">
        <v>44525</v>
      </c>
      <c r="AD348" s="283">
        <v>44525</v>
      </c>
      <c r="AE348" s="283">
        <v>44544</v>
      </c>
      <c r="AF348" s="283"/>
      <c r="AG348" s="283"/>
      <c r="AH348" s="334"/>
      <c r="AI348" s="283">
        <f>IFERROR(IF(VLOOKUP(功能_33[[#This Row],[功能代號]],E:S,11,FALSE)=0,"",VLOOKUP(功能_33[[#This Row],[功能代號]],E:S,11,FALSE)),"")</f>
        <v>44533</v>
      </c>
      <c r="AJ348" s="283"/>
      <c r="AK348" s="283"/>
      <c r="AL348" s="276"/>
      <c r="AM348" s="283"/>
      <c r="AN348" s="287" t="s">
        <v>2787</v>
      </c>
      <c r="AO348" s="276" t="s">
        <v>2788</v>
      </c>
      <c r="AQ348" s="507" t="str">
        <f t="shared" si="42"/>
        <v>5-1</v>
      </c>
      <c r="AR348" s="509" t="str">
        <f t="shared" si="43"/>
        <v/>
      </c>
      <c r="AS348" s="511" t="str">
        <f t="shared" si="44"/>
        <v/>
      </c>
      <c r="AT348" s="513" t="str">
        <f t="shared" si="45"/>
        <v/>
      </c>
      <c r="AU348" s="515" t="str">
        <f t="shared" si="46"/>
        <v/>
      </c>
      <c r="AV348" s="517" t="str">
        <f t="shared" si="47"/>
        <v/>
      </c>
      <c r="AW348" s="589" t="str">
        <f>IFERROR(VLOOKUP(功能_33[[#This Row],[功能代號]],SIT_FT!D:D,1,FALSE),"")</f>
        <v/>
      </c>
    </row>
    <row r="349" spans="3:49" ht="13.5" hidden="1" x14ac:dyDescent="0.3">
      <c r="C349" s="276" t="s">
        <v>81</v>
      </c>
      <c r="D349" s="276" t="s">
        <v>2485</v>
      </c>
      <c r="E349" s="275" t="s">
        <v>981</v>
      </c>
      <c r="F349" s="276" t="s">
        <v>982</v>
      </c>
      <c r="G349" s="276"/>
      <c r="H349" s="275" t="s">
        <v>179</v>
      </c>
      <c r="I349" s="275" t="s">
        <v>123</v>
      </c>
      <c r="J349" s="282" t="s">
        <v>2774</v>
      </c>
      <c r="K349" s="283">
        <v>44582</v>
      </c>
      <c r="L349" s="283"/>
      <c r="M349" s="283">
        <v>44505</v>
      </c>
      <c r="N349" s="283">
        <v>44504</v>
      </c>
      <c r="O349" s="283">
        <v>44536</v>
      </c>
      <c r="P349" s="275" t="s">
        <v>7</v>
      </c>
      <c r="Q349" s="275" t="s">
        <v>25</v>
      </c>
      <c r="R349" s="258" t="s">
        <v>21</v>
      </c>
      <c r="V349" s="275"/>
      <c r="X349" s="275"/>
      <c r="Y349" s="275"/>
      <c r="Z349" s="276" t="str">
        <f>VLOOKUP(功能_33[[#This Row],[User]],SKL放款!A:G,7,FALSE)</f>
        <v>放款管理課</v>
      </c>
      <c r="AA349" s="283">
        <v>44533</v>
      </c>
      <c r="AB349" s="283" t="s">
        <v>181</v>
      </c>
      <c r="AC349" s="283">
        <v>44525</v>
      </c>
      <c r="AD349" s="283">
        <v>44525</v>
      </c>
      <c r="AE349" s="283">
        <v>44544</v>
      </c>
      <c r="AF349" s="283"/>
      <c r="AG349" s="283"/>
      <c r="AH349" s="334"/>
      <c r="AI349" s="283">
        <f>IFERROR(IF(VLOOKUP(功能_33[[#This Row],[功能代號]],E:S,11,FALSE)=0,"",VLOOKUP(功能_33[[#This Row],[功能代號]],E:S,11,FALSE)),"")</f>
        <v>44536</v>
      </c>
      <c r="AJ349" s="283"/>
      <c r="AK349" s="283"/>
      <c r="AL349" s="276"/>
      <c r="AM349" s="283"/>
      <c r="AN349" s="287" t="s">
        <v>2787</v>
      </c>
      <c r="AO349" s="276" t="s">
        <v>2788</v>
      </c>
      <c r="AQ349" s="507" t="str">
        <f t="shared" si="42"/>
        <v>5-1</v>
      </c>
      <c r="AR349" s="509" t="str">
        <f t="shared" si="43"/>
        <v/>
      </c>
      <c r="AS349" s="511" t="str">
        <f t="shared" si="44"/>
        <v/>
      </c>
      <c r="AT349" s="513" t="str">
        <f t="shared" si="45"/>
        <v/>
      </c>
      <c r="AU349" s="515" t="str">
        <f t="shared" si="46"/>
        <v/>
      </c>
      <c r="AV349" s="517" t="str">
        <f t="shared" si="47"/>
        <v/>
      </c>
      <c r="AW349" s="589" t="str">
        <f>IFERROR(VLOOKUP(功能_33[[#This Row],[功能代號]],SIT_FT!D:D,1,FALSE),"")</f>
        <v/>
      </c>
    </row>
    <row r="350" spans="3:49" ht="13.5" hidden="1" x14ac:dyDescent="0.3">
      <c r="C350" s="276" t="s">
        <v>81</v>
      </c>
      <c r="D350" s="276" t="s">
        <v>2485</v>
      </c>
      <c r="E350" s="275" t="s">
        <v>983</v>
      </c>
      <c r="F350" s="276" t="s">
        <v>984</v>
      </c>
      <c r="G350" s="276"/>
      <c r="H350" s="275" t="s">
        <v>179</v>
      </c>
      <c r="I350" s="275" t="s">
        <v>123</v>
      </c>
      <c r="J350" s="282" t="s">
        <v>2774</v>
      </c>
      <c r="K350" s="283">
        <v>44575</v>
      </c>
      <c r="L350" s="283">
        <v>44572</v>
      </c>
      <c r="M350" s="283">
        <v>44524</v>
      </c>
      <c r="N350" s="283">
        <v>44524</v>
      </c>
      <c r="O350" s="283">
        <v>44536</v>
      </c>
      <c r="P350" s="275" t="s">
        <v>7</v>
      </c>
      <c r="Q350" s="275" t="s">
        <v>24</v>
      </c>
      <c r="V350" s="275"/>
      <c r="X350" s="275"/>
      <c r="Y350" s="275"/>
      <c r="Z350" s="276" t="str">
        <f>VLOOKUP(功能_33[[#This Row],[User]],SKL放款!A:G,7,FALSE)</f>
        <v>放款服務課</v>
      </c>
      <c r="AA350" s="283">
        <v>44533</v>
      </c>
      <c r="AB350" s="283" t="s">
        <v>181</v>
      </c>
      <c r="AC350" s="283">
        <v>44531</v>
      </c>
      <c r="AD350" s="283">
        <v>44531</v>
      </c>
      <c r="AE350" s="283">
        <v>44544</v>
      </c>
      <c r="AF350" s="283"/>
      <c r="AG350" s="283"/>
      <c r="AH350" s="334"/>
      <c r="AI350" s="283">
        <f>IFERROR(IF(VLOOKUP(功能_33[[#This Row],[功能代號]],E:S,11,FALSE)=0,"",VLOOKUP(功能_33[[#This Row],[功能代號]],E:S,11,FALSE)),"")</f>
        <v>44536</v>
      </c>
      <c r="AJ350" s="283"/>
      <c r="AK350" s="283"/>
      <c r="AL350" s="276"/>
      <c r="AM350" s="283"/>
      <c r="AN350" s="287" t="s">
        <v>2789</v>
      </c>
      <c r="AO350" s="276" t="s">
        <v>2790</v>
      </c>
      <c r="AQ350" s="507" t="str">
        <f t="shared" si="42"/>
        <v>5-1</v>
      </c>
      <c r="AR350" s="509" t="str">
        <f t="shared" si="43"/>
        <v/>
      </c>
      <c r="AS350" s="511" t="str">
        <f t="shared" si="44"/>
        <v/>
      </c>
      <c r="AT350" s="513" t="str">
        <f t="shared" si="45"/>
        <v/>
      </c>
      <c r="AU350" s="515" t="str">
        <f t="shared" si="46"/>
        <v/>
      </c>
      <c r="AV350" s="517" t="str">
        <f t="shared" si="47"/>
        <v/>
      </c>
      <c r="AW350" s="589" t="str">
        <f>IFERROR(VLOOKUP(功能_33[[#This Row],[功能代號]],SIT_FT!D:D,1,FALSE),"")</f>
        <v>L5906</v>
      </c>
    </row>
    <row r="351" spans="3:49" ht="13.5" hidden="1" x14ac:dyDescent="0.3">
      <c r="C351" s="276" t="s">
        <v>81</v>
      </c>
      <c r="D351" s="276" t="s">
        <v>2485</v>
      </c>
      <c r="E351" s="275" t="s">
        <v>985</v>
      </c>
      <c r="F351" s="276" t="s">
        <v>986</v>
      </c>
      <c r="G351" s="276"/>
      <c r="H351" s="275" t="s">
        <v>179</v>
      </c>
      <c r="I351" s="275" t="s">
        <v>123</v>
      </c>
      <c r="J351" s="282" t="s">
        <v>2774</v>
      </c>
      <c r="K351" s="283">
        <v>44582</v>
      </c>
      <c r="L351" s="283"/>
      <c r="M351" s="283">
        <v>44524</v>
      </c>
      <c r="N351" s="283">
        <v>44524</v>
      </c>
      <c r="O351" s="283">
        <v>44536</v>
      </c>
      <c r="P351" s="275" t="s">
        <v>7</v>
      </c>
      <c r="Q351" s="275" t="s">
        <v>24</v>
      </c>
      <c r="V351" s="275"/>
      <c r="X351" s="275"/>
      <c r="Y351" s="275"/>
      <c r="Z351" s="276" t="str">
        <f>VLOOKUP(功能_33[[#This Row],[User]],SKL放款!A:G,7,FALSE)</f>
        <v>放款服務課</v>
      </c>
      <c r="AA351" s="283">
        <v>44533</v>
      </c>
      <c r="AB351" s="283" t="s">
        <v>181</v>
      </c>
      <c r="AC351" s="283">
        <v>44531</v>
      </c>
      <c r="AD351" s="283">
        <v>44531</v>
      </c>
      <c r="AE351" s="283">
        <v>44544</v>
      </c>
      <c r="AF351" s="283"/>
      <c r="AG351" s="283"/>
      <c r="AH351" s="334"/>
      <c r="AI351" s="283">
        <f>IFERROR(IF(VLOOKUP(功能_33[[#This Row],[功能代號]],E:S,11,FALSE)=0,"",VLOOKUP(功能_33[[#This Row],[功能代號]],E:S,11,FALSE)),"")</f>
        <v>44536</v>
      </c>
      <c r="AJ351" s="283"/>
      <c r="AK351" s="283"/>
      <c r="AL351" s="276"/>
      <c r="AM351" s="283"/>
      <c r="AN351" s="287" t="s">
        <v>2789</v>
      </c>
      <c r="AO351" s="276" t="s">
        <v>2790</v>
      </c>
      <c r="AQ351" s="507" t="str">
        <f t="shared" si="42"/>
        <v>5-1</v>
      </c>
      <c r="AR351" s="509" t="str">
        <f t="shared" si="43"/>
        <v/>
      </c>
      <c r="AS351" s="511" t="str">
        <f t="shared" si="44"/>
        <v/>
      </c>
      <c r="AT351" s="513" t="str">
        <f t="shared" si="45"/>
        <v/>
      </c>
      <c r="AU351" s="515" t="str">
        <f t="shared" si="46"/>
        <v/>
      </c>
      <c r="AV351" s="517" t="str">
        <f t="shared" si="47"/>
        <v/>
      </c>
      <c r="AW351" s="589" t="str">
        <f>IFERROR(VLOOKUP(功能_33[[#This Row],[功能代號]],SIT_FT!D:D,1,FALSE),"")</f>
        <v>L5116</v>
      </c>
    </row>
    <row r="352" spans="3:49" ht="13.5" hidden="1" x14ac:dyDescent="0.3">
      <c r="C352" s="276" t="s">
        <v>81</v>
      </c>
      <c r="D352" s="276" t="s">
        <v>2485</v>
      </c>
      <c r="E352" s="275" t="s">
        <v>988</v>
      </c>
      <c r="F352" s="267" t="s">
        <v>989</v>
      </c>
      <c r="G352" s="276" t="s">
        <v>990</v>
      </c>
      <c r="H352" s="275" t="s">
        <v>179</v>
      </c>
      <c r="I352" s="275" t="s">
        <v>123</v>
      </c>
      <c r="J352" s="282" t="s">
        <v>2774</v>
      </c>
      <c r="K352" s="283">
        <v>44575</v>
      </c>
      <c r="L352" s="283">
        <v>44572</v>
      </c>
      <c r="M352" s="283">
        <v>44505</v>
      </c>
      <c r="N352" s="283">
        <v>44504</v>
      </c>
      <c r="O352" s="283">
        <v>44536</v>
      </c>
      <c r="P352" s="275" t="s">
        <v>10</v>
      </c>
      <c r="Q352" s="275" t="s">
        <v>25</v>
      </c>
      <c r="R352" s="258" t="s">
        <v>21</v>
      </c>
      <c r="V352" s="275"/>
      <c r="X352" s="275"/>
      <c r="Y352" s="275"/>
      <c r="Z352" s="276" t="s">
        <v>991</v>
      </c>
      <c r="AA352" s="283">
        <v>44533</v>
      </c>
      <c r="AB352" s="283" t="s">
        <v>181</v>
      </c>
      <c r="AC352" s="283">
        <v>44525</v>
      </c>
      <c r="AD352" s="283">
        <v>44525</v>
      </c>
      <c r="AE352" s="283">
        <v>44544</v>
      </c>
      <c r="AF352" s="269"/>
      <c r="AG352" s="269"/>
      <c r="AH352" s="269"/>
      <c r="AI352" s="269" t="s">
        <v>25</v>
      </c>
      <c r="AJ352" s="269"/>
      <c r="AK352" s="269"/>
      <c r="AL352" s="276"/>
      <c r="AN352" s="275" t="s">
        <v>2623</v>
      </c>
      <c r="AO352" s="275" t="s">
        <v>2623</v>
      </c>
      <c r="AQ352" s="507" t="str">
        <f t="shared" si="42"/>
        <v>5-1</v>
      </c>
      <c r="AR352" s="509" t="str">
        <f t="shared" si="43"/>
        <v/>
      </c>
      <c r="AS352" s="511" t="str">
        <f t="shared" si="44"/>
        <v/>
      </c>
      <c r="AT352" s="513" t="str">
        <f t="shared" si="45"/>
        <v/>
      </c>
      <c r="AU352" s="515" t="str">
        <f t="shared" si="46"/>
        <v/>
      </c>
      <c r="AV352" s="517" t="str">
        <f t="shared" si="47"/>
        <v/>
      </c>
      <c r="AW352" s="589" t="str">
        <f>IFERROR(VLOOKUP(功能_33[[#This Row],[功能代號]],SIT_FT!D:D,1,FALSE),"")</f>
        <v/>
      </c>
    </row>
    <row r="353" spans="3:49" ht="13.5" hidden="1" x14ac:dyDescent="0.3">
      <c r="C353" s="276" t="s">
        <v>81</v>
      </c>
      <c r="D353" s="276" t="s">
        <v>2485</v>
      </c>
      <c r="E353" s="275" t="s">
        <v>992</v>
      </c>
      <c r="F353" s="267" t="s">
        <v>993</v>
      </c>
      <c r="G353" s="276" t="s">
        <v>994</v>
      </c>
      <c r="H353" s="275" t="s">
        <v>179</v>
      </c>
      <c r="I353" s="275" t="s">
        <v>123</v>
      </c>
      <c r="J353" s="282" t="s">
        <v>2774</v>
      </c>
      <c r="K353" s="283">
        <v>44582</v>
      </c>
      <c r="L353" s="283"/>
      <c r="M353" s="283">
        <v>44505</v>
      </c>
      <c r="N353" s="283">
        <v>44504</v>
      </c>
      <c r="O353" s="283">
        <v>44536</v>
      </c>
      <c r="P353" s="275" t="s">
        <v>10</v>
      </c>
      <c r="Q353" s="275" t="s">
        <v>25</v>
      </c>
      <c r="R353" s="258" t="s">
        <v>21</v>
      </c>
      <c r="V353" s="275"/>
      <c r="X353" s="275"/>
      <c r="Y353" s="275"/>
      <c r="Z353" s="276" t="s">
        <v>991</v>
      </c>
      <c r="AA353" s="283">
        <v>44533</v>
      </c>
      <c r="AB353" s="283" t="s">
        <v>181</v>
      </c>
      <c r="AC353" s="283">
        <v>44525</v>
      </c>
      <c r="AD353" s="283">
        <v>44525</v>
      </c>
      <c r="AE353" s="283">
        <v>44544</v>
      </c>
      <c r="AF353" s="269"/>
      <c r="AG353" s="269"/>
      <c r="AH353" s="269"/>
      <c r="AI353" s="269" t="s">
        <v>25</v>
      </c>
      <c r="AJ353" s="269"/>
      <c r="AK353" s="269"/>
      <c r="AL353" s="276"/>
      <c r="AN353" s="275" t="s">
        <v>2623</v>
      </c>
      <c r="AO353" s="275" t="s">
        <v>2623</v>
      </c>
      <c r="AQ353" s="507" t="str">
        <f t="shared" si="42"/>
        <v>5-1</v>
      </c>
      <c r="AR353" s="509" t="str">
        <f t="shared" si="43"/>
        <v/>
      </c>
      <c r="AS353" s="511" t="str">
        <f t="shared" si="44"/>
        <v/>
      </c>
      <c r="AT353" s="513" t="str">
        <f t="shared" si="45"/>
        <v/>
      </c>
      <c r="AU353" s="515" t="str">
        <f t="shared" si="46"/>
        <v/>
      </c>
      <c r="AV353" s="517" t="str">
        <f t="shared" si="47"/>
        <v/>
      </c>
      <c r="AW353" s="589" t="str">
        <f>IFERROR(VLOOKUP(功能_33[[#This Row],[功能代號]],SIT_FT!D:D,1,FALSE),"")</f>
        <v/>
      </c>
    </row>
    <row r="354" spans="3:49" ht="13.5" hidden="1" x14ac:dyDescent="0.3">
      <c r="C354" s="276" t="s">
        <v>82</v>
      </c>
      <c r="D354" s="431" t="s">
        <v>2483</v>
      </c>
      <c r="E354" s="275" t="s">
        <v>1106</v>
      </c>
      <c r="F354" s="276" t="s">
        <v>1105</v>
      </c>
      <c r="G354" s="276"/>
      <c r="H354" s="275" t="s">
        <v>179</v>
      </c>
      <c r="I354" s="275" t="s">
        <v>300</v>
      </c>
      <c r="J354" s="218" t="s">
        <v>2977</v>
      </c>
      <c r="K354" s="283">
        <v>44566</v>
      </c>
      <c r="L354" s="283">
        <v>44566</v>
      </c>
      <c r="M354" s="283">
        <v>44529</v>
      </c>
      <c r="N354" s="283">
        <v>44529</v>
      </c>
      <c r="O354" s="283">
        <v>44537</v>
      </c>
      <c r="P354" s="275" t="s">
        <v>12</v>
      </c>
      <c r="Q354" s="275" t="s">
        <v>11</v>
      </c>
      <c r="V354" s="275"/>
      <c r="X354" s="275"/>
      <c r="Y354" s="275"/>
      <c r="Z354" s="276" t="str">
        <f>VLOOKUP(功能_33[[#This Row],[User]],SKL放款!A:G,7,FALSE)</f>
        <v>放款服務課</v>
      </c>
      <c r="AA354" s="283">
        <v>44533</v>
      </c>
      <c r="AB354" s="283" t="s">
        <v>2574</v>
      </c>
      <c r="AC354" s="283"/>
      <c r="AD354" s="283">
        <v>44529</v>
      </c>
      <c r="AE354" s="215" t="s">
        <v>3003</v>
      </c>
      <c r="AF354" s="283"/>
      <c r="AG354" s="283"/>
      <c r="AH354" s="334"/>
      <c r="AI354" s="283">
        <f>IFERROR(IF(VLOOKUP(功能_33[[#This Row],[功能代號]],E:S,11,FALSE)=0,"",VLOOKUP(功能_33[[#This Row],[功能代號]],E:S,11,FALSE)),"")</f>
        <v>44537</v>
      </c>
      <c r="AJ354" s="283"/>
      <c r="AK354" s="283"/>
      <c r="AL354" s="276"/>
      <c r="AM354" s="283"/>
      <c r="AN354" s="287" t="s">
        <v>1104</v>
      </c>
      <c r="AO354" s="288" t="s">
        <v>1105</v>
      </c>
      <c r="AQ354" s="507" t="str">
        <f t="shared" si="42"/>
        <v>6-7</v>
      </c>
      <c r="AR354" s="509" t="str">
        <f t="shared" si="43"/>
        <v/>
      </c>
      <c r="AS354" s="511" t="str">
        <f t="shared" si="44"/>
        <v/>
      </c>
      <c r="AT354" s="513" t="str">
        <f t="shared" si="45"/>
        <v/>
      </c>
      <c r="AU354" s="515" t="str">
        <f t="shared" si="46"/>
        <v/>
      </c>
      <c r="AV354" s="517" t="str">
        <f t="shared" si="47"/>
        <v/>
      </c>
      <c r="AW354" s="589" t="str">
        <f>IFERROR(VLOOKUP(功能_33[[#This Row],[功能代號]],SIT_FT!D:D,1,FALSE),"")</f>
        <v>L6702</v>
      </c>
    </row>
    <row r="355" spans="3:49" ht="13.5" hidden="1" x14ac:dyDescent="0.3">
      <c r="C355" s="276" t="s">
        <v>82</v>
      </c>
      <c r="D355" s="276" t="s">
        <v>2483</v>
      </c>
      <c r="E355" s="275" t="s">
        <v>598</v>
      </c>
      <c r="F355" s="276" t="s">
        <v>599</v>
      </c>
      <c r="G355" s="276"/>
      <c r="H355" s="275" t="s">
        <v>179</v>
      </c>
      <c r="I355" s="275" t="s">
        <v>300</v>
      </c>
      <c r="J355" s="218" t="s">
        <v>2875</v>
      </c>
      <c r="K355" s="283">
        <v>44566</v>
      </c>
      <c r="L355" s="283">
        <v>44566</v>
      </c>
      <c r="M355" s="283">
        <v>44516</v>
      </c>
      <c r="N355" s="283">
        <v>44467</v>
      </c>
      <c r="O355" s="283">
        <v>44472</v>
      </c>
      <c r="P355" s="275" t="s">
        <v>12</v>
      </c>
      <c r="Q355" s="275" t="s">
        <v>158</v>
      </c>
      <c r="V355" s="275"/>
      <c r="X355" s="275"/>
      <c r="Y355" s="275"/>
      <c r="Z355" s="276" t="str">
        <f>VLOOKUP(功能_33[[#This Row],[User]],SKL放款!A:G,7,FALSE)</f>
        <v>放款服務課</v>
      </c>
      <c r="AA355" s="283">
        <v>44472</v>
      </c>
      <c r="AB355" s="283" t="s">
        <v>119</v>
      </c>
      <c r="AC355" s="268">
        <v>44544</v>
      </c>
      <c r="AD355" s="268">
        <v>44544</v>
      </c>
      <c r="AE355" s="283">
        <v>44550</v>
      </c>
      <c r="AF355" s="283"/>
      <c r="AG355" s="283"/>
      <c r="AH355" s="334"/>
      <c r="AI355" s="283">
        <f>IFERROR(IF(VLOOKUP(功能_33[[#This Row],[功能代號]],E:S,11,FALSE)=0,"",VLOOKUP(功能_33[[#This Row],[功能代號]],E:S,11,FALSE)),"")</f>
        <v>44472</v>
      </c>
      <c r="AJ355" s="283"/>
      <c r="AK355" s="283"/>
      <c r="AL355" s="276"/>
      <c r="AM355" s="283"/>
      <c r="AN355" s="287" t="s">
        <v>596</v>
      </c>
      <c r="AO355" s="288" t="s">
        <v>597</v>
      </c>
      <c r="AQ355" s="507" t="str">
        <f t="shared" si="42"/>
        <v>6-7</v>
      </c>
      <c r="AR355" s="509" t="str">
        <f t="shared" si="43"/>
        <v/>
      </c>
      <c r="AS355" s="511" t="str">
        <f t="shared" si="44"/>
        <v/>
      </c>
      <c r="AT355" s="513" t="str">
        <f t="shared" si="45"/>
        <v/>
      </c>
      <c r="AU355" s="515" t="str">
        <f t="shared" si="46"/>
        <v/>
      </c>
      <c r="AV355" s="517" t="str">
        <f t="shared" si="47"/>
        <v/>
      </c>
      <c r="AW355" s="589" t="str">
        <f>IFERROR(VLOOKUP(功能_33[[#This Row],[功能代號]],SIT_FT!D:D,1,FALSE),"")</f>
        <v>L6703</v>
      </c>
    </row>
    <row r="356" spans="3:49" ht="17" hidden="1" x14ac:dyDescent="0.3">
      <c r="C356" s="276" t="s">
        <v>81</v>
      </c>
      <c r="D356" s="431" t="s">
        <v>2493</v>
      </c>
      <c r="E356" s="275" t="s">
        <v>1003</v>
      </c>
      <c r="F356" s="276" t="s">
        <v>1004</v>
      </c>
      <c r="G356" s="276"/>
      <c r="H356" s="275" t="s">
        <v>122</v>
      </c>
      <c r="I356" s="275" t="s">
        <v>123</v>
      </c>
      <c r="J356" s="282" t="s">
        <v>2881</v>
      </c>
      <c r="K356" s="283">
        <v>44582</v>
      </c>
      <c r="L356" s="283"/>
      <c r="M356" s="283">
        <v>44396</v>
      </c>
      <c r="N356" s="283">
        <v>44396</v>
      </c>
      <c r="O356" s="283">
        <v>44540</v>
      </c>
      <c r="P356" s="275" t="s">
        <v>12</v>
      </c>
      <c r="Q356" s="258" t="s">
        <v>2810</v>
      </c>
      <c r="S356" s="275">
        <v>1</v>
      </c>
      <c r="T356" s="275" t="s">
        <v>1002</v>
      </c>
      <c r="V356" s="275"/>
      <c r="X356" s="275"/>
      <c r="Y356" s="275"/>
      <c r="Z356" s="276" t="e">
        <f>VLOOKUP(功能_33[[#This Row],[User]],SKL放款!A:G,7,FALSE)</f>
        <v>#N/A</v>
      </c>
      <c r="AA356" s="283">
        <v>44540</v>
      </c>
      <c r="AB356" s="283" t="s">
        <v>119</v>
      </c>
      <c r="AC356" s="268">
        <v>44550</v>
      </c>
      <c r="AD356" s="283">
        <v>44550</v>
      </c>
      <c r="AE356" s="283">
        <v>44550</v>
      </c>
      <c r="AF356" s="283"/>
      <c r="AG356" s="283"/>
      <c r="AH356" s="334"/>
      <c r="AI356" s="283">
        <f>IFERROR(IF(VLOOKUP(功能_33[[#This Row],[功能代號]],E:S,11,FALSE)=0,"",VLOOKUP(功能_33[[#This Row],[功能代號]],E:S,11,FALSE)),"")</f>
        <v>44540</v>
      </c>
      <c r="AJ356" s="283"/>
      <c r="AK356" s="283"/>
      <c r="AL356" s="276"/>
      <c r="AM356" s="283">
        <v>44396</v>
      </c>
      <c r="AN356" s="588" t="s">
        <v>2813</v>
      </c>
      <c r="AO356" s="568" t="s">
        <v>2814</v>
      </c>
      <c r="AQ356" s="507" t="str">
        <f t="shared" si="42"/>
        <v>5-2</v>
      </c>
      <c r="AR356" s="509" t="str">
        <f t="shared" si="43"/>
        <v/>
      </c>
      <c r="AS356" s="511" t="str">
        <f t="shared" si="44"/>
        <v/>
      </c>
      <c r="AT356" s="513" t="str">
        <f t="shared" si="45"/>
        <v/>
      </c>
      <c r="AU356" s="515" t="str">
        <f t="shared" si="46"/>
        <v/>
      </c>
      <c r="AV356" s="517" t="str">
        <f t="shared" si="47"/>
        <v/>
      </c>
      <c r="AW356" s="589" t="str">
        <f>IFERROR(VLOOKUP(功能_33[[#This Row],[功能代號]],SIT_FT!D:D,1,FALSE),"")</f>
        <v>L5402</v>
      </c>
    </row>
    <row r="357" spans="3:49" ht="17" hidden="1" x14ac:dyDescent="0.3">
      <c r="C357" s="276" t="s">
        <v>81</v>
      </c>
      <c r="D357" s="431" t="s">
        <v>2493</v>
      </c>
      <c r="E357" s="275" t="s">
        <v>1005</v>
      </c>
      <c r="F357" s="276" t="s">
        <v>1006</v>
      </c>
      <c r="G357" s="276"/>
      <c r="H357" s="275" t="s">
        <v>122</v>
      </c>
      <c r="I357" s="275" t="s">
        <v>123</v>
      </c>
      <c r="J357" s="282" t="s">
        <v>2881</v>
      </c>
      <c r="K357" s="283">
        <v>44575</v>
      </c>
      <c r="L357" s="283"/>
      <c r="M357" s="283">
        <v>44396</v>
      </c>
      <c r="N357" s="283">
        <v>44396</v>
      </c>
      <c r="O357" s="283">
        <v>44533</v>
      </c>
      <c r="P357" s="275" t="s">
        <v>12</v>
      </c>
      <c r="Q357" s="258" t="s">
        <v>2810</v>
      </c>
      <c r="S357" s="275">
        <v>1</v>
      </c>
      <c r="T357" s="275" t="s">
        <v>997</v>
      </c>
      <c r="V357" s="275"/>
      <c r="X357" s="275"/>
      <c r="Y357" s="275"/>
      <c r="Z357" s="276" t="e">
        <f>VLOOKUP(功能_33[[#This Row],[User]],SKL放款!A:G,7,FALSE)</f>
        <v>#N/A</v>
      </c>
      <c r="AA357" s="283">
        <v>44533</v>
      </c>
      <c r="AB357" s="283" t="s">
        <v>119</v>
      </c>
      <c r="AC357" s="268">
        <v>44550</v>
      </c>
      <c r="AD357" s="283">
        <v>44550</v>
      </c>
      <c r="AE357" s="283">
        <v>44550</v>
      </c>
      <c r="AF357" s="283"/>
      <c r="AG357" s="283"/>
      <c r="AH357" s="334"/>
      <c r="AI357" s="283">
        <f>IFERROR(IF(VLOOKUP(功能_33[[#This Row],[功能代號]],E:S,11,FALSE)=0,"",VLOOKUP(功能_33[[#This Row],[功能代號]],E:S,11,FALSE)),"")</f>
        <v>44533</v>
      </c>
      <c r="AJ357" s="283"/>
      <c r="AK357" s="283"/>
      <c r="AL357" s="276"/>
      <c r="AM357" s="283">
        <v>44396</v>
      </c>
      <c r="AN357" s="588" t="s">
        <v>2813</v>
      </c>
      <c r="AO357" s="569" t="s">
        <v>2814</v>
      </c>
      <c r="AQ357" s="507" t="str">
        <f t="shared" si="42"/>
        <v>5-2</v>
      </c>
      <c r="AR357" s="509" t="str">
        <f t="shared" si="43"/>
        <v/>
      </c>
      <c r="AS357" s="511" t="str">
        <f t="shared" si="44"/>
        <v/>
      </c>
      <c r="AT357" s="513" t="str">
        <f t="shared" si="45"/>
        <v/>
      </c>
      <c r="AU357" s="515" t="str">
        <f t="shared" si="46"/>
        <v/>
      </c>
      <c r="AV357" s="517" t="str">
        <f t="shared" si="47"/>
        <v/>
      </c>
      <c r="AW357" s="589" t="str">
        <f>IFERROR(VLOOKUP(功能_33[[#This Row],[功能代號]],SIT_FT!D:D,1,FALSE),"")</f>
        <v>L5021</v>
      </c>
    </row>
    <row r="358" spans="3:49" ht="17" hidden="1" x14ac:dyDescent="0.3">
      <c r="C358" s="276" t="s">
        <v>81</v>
      </c>
      <c r="D358" s="431" t="s">
        <v>2493</v>
      </c>
      <c r="E358" s="275" t="s">
        <v>1007</v>
      </c>
      <c r="F358" s="276" t="s">
        <v>1008</v>
      </c>
      <c r="G358" s="276"/>
      <c r="H358" s="275" t="s">
        <v>122</v>
      </c>
      <c r="I358" s="275" t="s">
        <v>123</v>
      </c>
      <c r="J358" s="282" t="s">
        <v>2881</v>
      </c>
      <c r="K358" s="283">
        <v>44582</v>
      </c>
      <c r="L358" s="283"/>
      <c r="M358" s="283">
        <v>44396</v>
      </c>
      <c r="N358" s="283">
        <v>44396</v>
      </c>
      <c r="O358" s="283">
        <v>44533</v>
      </c>
      <c r="P358" s="275" t="s">
        <v>12</v>
      </c>
      <c r="Q358" s="258" t="s">
        <v>2810</v>
      </c>
      <c r="S358" s="275">
        <v>1</v>
      </c>
      <c r="T358" s="275" t="s">
        <v>1002</v>
      </c>
      <c r="V358" s="275"/>
      <c r="X358" s="275"/>
      <c r="Y358" s="275"/>
      <c r="Z358" s="276" t="e">
        <f>VLOOKUP(功能_33[[#This Row],[User]],SKL放款!A:G,7,FALSE)</f>
        <v>#N/A</v>
      </c>
      <c r="AA358" s="283">
        <v>44533</v>
      </c>
      <c r="AB358" s="283" t="s">
        <v>119</v>
      </c>
      <c r="AC358" s="268">
        <v>44550</v>
      </c>
      <c r="AD358" s="283">
        <v>44550</v>
      </c>
      <c r="AE358" s="283">
        <v>44550</v>
      </c>
      <c r="AF358" s="283"/>
      <c r="AG358" s="283"/>
      <c r="AH358" s="334"/>
      <c r="AI358" s="283">
        <f>IFERROR(IF(VLOOKUP(功能_33[[#This Row],[功能代號]],E:S,11,FALSE)=0,"",VLOOKUP(功能_33[[#This Row],[功能代號]],E:S,11,FALSE)),"")</f>
        <v>44533</v>
      </c>
      <c r="AJ358" s="283"/>
      <c r="AK358" s="283"/>
      <c r="AL358" s="276"/>
      <c r="AM358" s="283">
        <v>44396</v>
      </c>
      <c r="AN358" s="588" t="s">
        <v>2813</v>
      </c>
      <c r="AO358" s="570" t="s">
        <v>2814</v>
      </c>
      <c r="AQ358" s="507" t="str">
        <f t="shared" si="42"/>
        <v>5-2</v>
      </c>
      <c r="AR358" s="509" t="str">
        <f t="shared" si="43"/>
        <v/>
      </c>
      <c r="AS358" s="511" t="str">
        <f t="shared" si="44"/>
        <v/>
      </c>
      <c r="AT358" s="513" t="str">
        <f t="shared" si="45"/>
        <v/>
      </c>
      <c r="AU358" s="515" t="str">
        <f t="shared" si="46"/>
        <v/>
      </c>
      <c r="AV358" s="517" t="str">
        <f t="shared" si="47"/>
        <v/>
      </c>
      <c r="AW358" s="589" t="str">
        <f>IFERROR(VLOOKUP(功能_33[[#This Row],[功能代號]],SIT_FT!D:D,1,FALSE),"")</f>
        <v>L5401</v>
      </c>
    </row>
    <row r="359" spans="3:49" ht="17" hidden="1" x14ac:dyDescent="0.3">
      <c r="C359" s="276" t="s">
        <v>81</v>
      </c>
      <c r="D359" s="431" t="s">
        <v>2493</v>
      </c>
      <c r="E359" s="275" t="s">
        <v>1009</v>
      </c>
      <c r="F359" s="276" t="s">
        <v>1010</v>
      </c>
      <c r="G359" s="276"/>
      <c r="H359" s="275" t="s">
        <v>122</v>
      </c>
      <c r="I359" s="275" t="s">
        <v>123</v>
      </c>
      <c r="J359" s="282" t="s">
        <v>2881</v>
      </c>
      <c r="K359" s="283">
        <v>44575</v>
      </c>
      <c r="L359" s="283"/>
      <c r="M359" s="283">
        <v>44397</v>
      </c>
      <c r="N359" s="283">
        <v>44397</v>
      </c>
      <c r="O359" s="283">
        <v>44533</v>
      </c>
      <c r="P359" s="275" t="s">
        <v>12</v>
      </c>
      <c r="Q359" s="275" t="s">
        <v>13</v>
      </c>
      <c r="S359" s="275">
        <v>1</v>
      </c>
      <c r="T359" s="275" t="s">
        <v>997</v>
      </c>
      <c r="V359" s="275"/>
      <c r="X359" s="275"/>
      <c r="Y359" s="275"/>
      <c r="Z359" s="276" t="str">
        <f>VLOOKUP(功能_33[[#This Row],[User]],SKL放款!A:G,7,FALSE)</f>
        <v>放款推展課</v>
      </c>
      <c r="AA359" s="283">
        <v>44533</v>
      </c>
      <c r="AB359" s="283">
        <v>44533</v>
      </c>
      <c r="AC359" s="283">
        <v>44533</v>
      </c>
      <c r="AD359" s="283">
        <v>44533</v>
      </c>
      <c r="AE359" s="283">
        <v>44550</v>
      </c>
      <c r="AF359" s="283"/>
      <c r="AG359" s="283"/>
      <c r="AH359" s="334"/>
      <c r="AI359" s="283">
        <f>IFERROR(IF(VLOOKUP(功能_33[[#This Row],[功能代號]],E:S,11,FALSE)=0,"",VLOOKUP(功能_33[[#This Row],[功能代號]],E:S,11,FALSE)),"")</f>
        <v>44533</v>
      </c>
      <c r="AJ359" s="283"/>
      <c r="AK359" s="283"/>
      <c r="AL359" s="276"/>
      <c r="AM359" s="283">
        <v>44397</v>
      </c>
      <c r="AN359" s="588" t="s">
        <v>2813</v>
      </c>
      <c r="AO359" s="571" t="s">
        <v>2814</v>
      </c>
      <c r="AQ359" s="507" t="str">
        <f t="shared" si="42"/>
        <v>5-2</v>
      </c>
      <c r="AR359" s="509" t="str">
        <f t="shared" si="43"/>
        <v/>
      </c>
      <c r="AS359" s="511" t="str">
        <f t="shared" si="44"/>
        <v/>
      </c>
      <c r="AT359" s="513" t="str">
        <f t="shared" si="45"/>
        <v/>
      </c>
      <c r="AU359" s="515" t="str">
        <f t="shared" si="46"/>
        <v/>
      </c>
      <c r="AV359" s="517" t="str">
        <f t="shared" si="47"/>
        <v/>
      </c>
      <c r="AW359" s="589" t="str">
        <f>IFERROR(VLOOKUP(功能_33[[#This Row],[功能代號]],SIT_FT!D:D,1,FALSE),"")</f>
        <v>L5023</v>
      </c>
    </row>
    <row r="360" spans="3:49" ht="17" hidden="1" x14ac:dyDescent="0.3">
      <c r="C360" s="276" t="s">
        <v>81</v>
      </c>
      <c r="D360" s="431" t="s">
        <v>2493</v>
      </c>
      <c r="E360" s="275" t="s">
        <v>1011</v>
      </c>
      <c r="F360" s="276" t="s">
        <v>1012</v>
      </c>
      <c r="G360" s="276"/>
      <c r="H360" s="275" t="s">
        <v>122</v>
      </c>
      <c r="I360" s="275" t="s">
        <v>123</v>
      </c>
      <c r="J360" s="282" t="s">
        <v>2968</v>
      </c>
      <c r="K360" s="283">
        <v>44582</v>
      </c>
      <c r="L360" s="283"/>
      <c r="M360" s="283">
        <v>44397</v>
      </c>
      <c r="N360" s="283">
        <v>44397</v>
      </c>
      <c r="O360" s="283">
        <v>44533</v>
      </c>
      <c r="P360" s="275" t="s">
        <v>12</v>
      </c>
      <c r="Q360" s="275" t="s">
        <v>13</v>
      </c>
      <c r="S360" s="275">
        <v>1</v>
      </c>
      <c r="T360" s="275" t="s">
        <v>1002</v>
      </c>
      <c r="V360" s="275"/>
      <c r="X360" s="275"/>
      <c r="Y360" s="275"/>
      <c r="Z360" s="276" t="str">
        <f>VLOOKUP(功能_33[[#This Row],[User]],SKL放款!A:G,7,FALSE)</f>
        <v>放款推展課</v>
      </c>
      <c r="AA360" s="283">
        <v>44533</v>
      </c>
      <c r="AB360" s="283">
        <v>44533</v>
      </c>
      <c r="AC360" s="283">
        <v>44533</v>
      </c>
      <c r="AD360" s="283">
        <v>44533</v>
      </c>
      <c r="AE360" s="283">
        <v>44550</v>
      </c>
      <c r="AF360" s="283"/>
      <c r="AG360" s="283"/>
      <c r="AH360" s="334"/>
      <c r="AI360" s="283">
        <f>IFERROR(IF(VLOOKUP(功能_33[[#This Row],[功能代號]],E:S,11,FALSE)=0,"",VLOOKUP(功能_33[[#This Row],[功能代號]],E:S,11,FALSE)),"")</f>
        <v>44533</v>
      </c>
      <c r="AJ360" s="283"/>
      <c r="AK360" s="283"/>
      <c r="AL360" s="276"/>
      <c r="AM360" s="283">
        <v>44397</v>
      </c>
      <c r="AN360" s="588" t="s">
        <v>2813</v>
      </c>
      <c r="AO360" s="572" t="s">
        <v>2814</v>
      </c>
      <c r="AQ360" s="507" t="str">
        <f t="shared" si="42"/>
        <v>5-2</v>
      </c>
      <c r="AR360" s="509" t="str">
        <f t="shared" si="43"/>
        <v/>
      </c>
      <c r="AS360" s="511" t="str">
        <f t="shared" si="44"/>
        <v/>
      </c>
      <c r="AT360" s="513" t="str">
        <f t="shared" si="45"/>
        <v/>
      </c>
      <c r="AU360" s="515" t="str">
        <f t="shared" si="46"/>
        <v/>
      </c>
      <c r="AV360" s="517" t="str">
        <f t="shared" si="47"/>
        <v/>
      </c>
      <c r="AW360" s="589" t="str">
        <f>IFERROR(VLOOKUP(功能_33[[#This Row],[功能代號]],SIT_FT!D:D,1,FALSE),"")</f>
        <v>L5406</v>
      </c>
    </row>
    <row r="361" spans="3:49" ht="17" hidden="1" x14ac:dyDescent="0.3">
      <c r="C361" s="276" t="s">
        <v>81</v>
      </c>
      <c r="D361" s="431" t="s">
        <v>2493</v>
      </c>
      <c r="E361" s="275" t="s">
        <v>1013</v>
      </c>
      <c r="F361" s="276" t="s">
        <v>1014</v>
      </c>
      <c r="G361" s="276"/>
      <c r="H361" s="275" t="s">
        <v>122</v>
      </c>
      <c r="I361" s="275" t="s">
        <v>123</v>
      </c>
      <c r="J361" s="282" t="s">
        <v>2881</v>
      </c>
      <c r="K361" s="283">
        <v>44575</v>
      </c>
      <c r="L361" s="283"/>
      <c r="M361" s="283">
        <v>44396</v>
      </c>
      <c r="N361" s="283">
        <v>44396</v>
      </c>
      <c r="O361" s="283">
        <v>44396</v>
      </c>
      <c r="P361" s="275" t="s">
        <v>12</v>
      </c>
      <c r="Q361" s="275" t="s">
        <v>2810</v>
      </c>
      <c r="S361" s="275">
        <v>1</v>
      </c>
      <c r="T361" s="275" t="s">
        <v>997</v>
      </c>
      <c r="V361" s="275"/>
      <c r="X361" s="275"/>
      <c r="Y361" s="275"/>
      <c r="Z361" s="276" t="e">
        <f>VLOOKUP(功能_33[[#This Row],[User]],SKL放款!A:G,7,FALSE)</f>
        <v>#N/A</v>
      </c>
      <c r="AA361" s="283">
        <v>44533</v>
      </c>
      <c r="AB361" s="283" t="s">
        <v>181</v>
      </c>
      <c r="AC361" s="283"/>
      <c r="AD361" s="283">
        <v>44396</v>
      </c>
      <c r="AE361" s="283">
        <v>44550</v>
      </c>
      <c r="AF361" s="283"/>
      <c r="AG361" s="283"/>
      <c r="AH361" s="334"/>
      <c r="AI361" s="283">
        <f>IFERROR(IF(VLOOKUP(功能_33[[#This Row],[功能代號]],E:S,11,FALSE)=0,"",VLOOKUP(功能_33[[#This Row],[功能代號]],E:S,11,FALSE)),"")</f>
        <v>44396</v>
      </c>
      <c r="AJ361" s="283"/>
      <c r="AK361" s="283"/>
      <c r="AL361" s="276"/>
      <c r="AM361" s="283">
        <v>44396</v>
      </c>
      <c r="AN361" s="588" t="s">
        <v>2813</v>
      </c>
      <c r="AO361" s="573" t="s">
        <v>2814</v>
      </c>
      <c r="AQ361" s="507" t="str">
        <f t="shared" si="42"/>
        <v>5-2</v>
      </c>
      <c r="AR361" s="509" t="str">
        <f t="shared" si="43"/>
        <v/>
      </c>
      <c r="AS361" s="511" t="str">
        <f t="shared" si="44"/>
        <v/>
      </c>
      <c r="AT361" s="513" t="str">
        <f t="shared" si="45"/>
        <v/>
      </c>
      <c r="AU361" s="515" t="str">
        <f t="shared" si="46"/>
        <v/>
      </c>
      <c r="AV361" s="517" t="str">
        <f t="shared" si="47"/>
        <v/>
      </c>
      <c r="AW361" s="589" t="str">
        <f>IFERROR(VLOOKUP(功能_33[[#This Row],[功能代號]],SIT_FT!D:D,1,FALSE),"")</f>
        <v>L5024</v>
      </c>
    </row>
    <row r="362" spans="3:49" ht="17" hidden="1" x14ac:dyDescent="0.3">
      <c r="C362" s="276" t="s">
        <v>81</v>
      </c>
      <c r="D362" s="431" t="s">
        <v>2493</v>
      </c>
      <c r="E362" s="275" t="s">
        <v>1015</v>
      </c>
      <c r="F362" s="276" t="s">
        <v>1016</v>
      </c>
      <c r="G362" s="276"/>
      <c r="H362" s="275" t="s">
        <v>122</v>
      </c>
      <c r="I362" s="275" t="s">
        <v>123</v>
      </c>
      <c r="J362" s="282" t="s">
        <v>2968</v>
      </c>
      <c r="K362" s="283">
        <v>44582</v>
      </c>
      <c r="L362" s="283"/>
      <c r="M362" s="283">
        <v>44396</v>
      </c>
      <c r="N362" s="283">
        <v>44396</v>
      </c>
      <c r="O362" s="283">
        <v>44533</v>
      </c>
      <c r="P362" s="275" t="s">
        <v>12</v>
      </c>
      <c r="Q362" s="258" t="s">
        <v>2810</v>
      </c>
      <c r="S362" s="275">
        <v>1</v>
      </c>
      <c r="T362" s="275" t="s">
        <v>1002</v>
      </c>
      <c r="V362" s="275"/>
      <c r="X362" s="275"/>
      <c r="Y362" s="275"/>
      <c r="Z362" s="276" t="e">
        <f>VLOOKUP(功能_33[[#This Row],[User]],SKL放款!A:G,7,FALSE)</f>
        <v>#N/A</v>
      </c>
      <c r="AA362" s="283">
        <v>44533</v>
      </c>
      <c r="AB362" s="283" t="s">
        <v>119</v>
      </c>
      <c r="AC362" s="268">
        <v>44550</v>
      </c>
      <c r="AD362" s="283">
        <v>44550</v>
      </c>
      <c r="AE362" s="283">
        <v>44550</v>
      </c>
      <c r="AF362" s="283"/>
      <c r="AG362" s="283"/>
      <c r="AH362" s="334"/>
      <c r="AI362" s="283">
        <f>IFERROR(IF(VLOOKUP(功能_33[[#This Row],[功能代號]],E:S,11,FALSE)=0,"",VLOOKUP(功能_33[[#This Row],[功能代號]],E:S,11,FALSE)),"")</f>
        <v>44533</v>
      </c>
      <c r="AJ362" s="283"/>
      <c r="AK362" s="283"/>
      <c r="AL362" s="276"/>
      <c r="AM362" s="283">
        <v>44396</v>
      </c>
      <c r="AN362" s="588" t="s">
        <v>2813</v>
      </c>
      <c r="AO362" s="574" t="s">
        <v>2814</v>
      </c>
      <c r="AQ362" s="507" t="str">
        <f t="shared" si="42"/>
        <v>5-2</v>
      </c>
      <c r="AR362" s="509" t="str">
        <f t="shared" si="43"/>
        <v/>
      </c>
      <c r="AS362" s="511" t="str">
        <f t="shared" si="44"/>
        <v/>
      </c>
      <c r="AT362" s="513" t="str">
        <f t="shared" si="45"/>
        <v/>
      </c>
      <c r="AU362" s="515" t="str">
        <f t="shared" si="46"/>
        <v/>
      </c>
      <c r="AV362" s="517" t="str">
        <f t="shared" si="47"/>
        <v/>
      </c>
      <c r="AW362" s="589" t="str">
        <f>IFERROR(VLOOKUP(功能_33[[#This Row],[功能代號]],SIT_FT!D:D,1,FALSE),"")</f>
        <v>L5405</v>
      </c>
    </row>
    <row r="363" spans="3:49" ht="17" hidden="1" x14ac:dyDescent="0.3">
      <c r="C363" s="276" t="s">
        <v>81</v>
      </c>
      <c r="D363" s="431" t="s">
        <v>2493</v>
      </c>
      <c r="E363" s="275" t="s">
        <v>1017</v>
      </c>
      <c r="F363" s="276" t="s">
        <v>1018</v>
      </c>
      <c r="G363" s="276"/>
      <c r="H363" s="275" t="s">
        <v>122</v>
      </c>
      <c r="I363" s="275" t="s">
        <v>123</v>
      </c>
      <c r="J363" s="282" t="s">
        <v>2881</v>
      </c>
      <c r="K363" s="283">
        <v>44575</v>
      </c>
      <c r="L363" s="283"/>
      <c r="M363" s="283">
        <v>44397</v>
      </c>
      <c r="N363" s="283">
        <v>44397</v>
      </c>
      <c r="O363" s="283">
        <v>44533</v>
      </c>
      <c r="P363" s="275" t="s">
        <v>12</v>
      </c>
      <c r="Q363" s="258" t="s">
        <v>2810</v>
      </c>
      <c r="S363" s="275">
        <v>1</v>
      </c>
      <c r="T363" s="275" t="s">
        <v>997</v>
      </c>
      <c r="V363" s="275"/>
      <c r="X363" s="275"/>
      <c r="Y363" s="275"/>
      <c r="Z363" s="276" t="e">
        <f>VLOOKUP(功能_33[[#This Row],[User]],SKL放款!A:G,7,FALSE)</f>
        <v>#N/A</v>
      </c>
      <c r="AA363" s="283">
        <v>44533</v>
      </c>
      <c r="AB363" s="283" t="s">
        <v>119</v>
      </c>
      <c r="AC363" s="268">
        <v>44550</v>
      </c>
      <c r="AD363" s="283">
        <v>44550</v>
      </c>
      <c r="AE363" s="283">
        <v>44550</v>
      </c>
      <c r="AF363" s="283"/>
      <c r="AG363" s="283"/>
      <c r="AH363" s="334"/>
      <c r="AI363" s="283">
        <f>IFERROR(IF(VLOOKUP(功能_33[[#This Row],[功能代號]],E:S,11,FALSE)=0,"",VLOOKUP(功能_33[[#This Row],[功能代號]],E:S,11,FALSE)),"")</f>
        <v>44533</v>
      </c>
      <c r="AJ363" s="283"/>
      <c r="AK363" s="283"/>
      <c r="AL363" s="276"/>
      <c r="AM363" s="283">
        <v>44397</v>
      </c>
      <c r="AN363" s="588" t="s">
        <v>2813</v>
      </c>
      <c r="AO363" s="576" t="s">
        <v>2814</v>
      </c>
      <c r="AQ363" s="507" t="str">
        <f t="shared" si="42"/>
        <v>5-2</v>
      </c>
      <c r="AR363" s="509" t="str">
        <f t="shared" si="43"/>
        <v/>
      </c>
      <c r="AS363" s="511" t="str">
        <f t="shared" si="44"/>
        <v/>
      </c>
      <c r="AT363" s="513" t="str">
        <f t="shared" si="45"/>
        <v/>
      </c>
      <c r="AU363" s="515" t="str">
        <f t="shared" si="46"/>
        <v/>
      </c>
      <c r="AV363" s="517" t="str">
        <f t="shared" si="47"/>
        <v/>
      </c>
      <c r="AW363" s="589" t="str">
        <f>IFERROR(VLOOKUP(功能_33[[#This Row],[功能代號]],SIT_FT!D:D,1,FALSE),"")</f>
        <v>L5022</v>
      </c>
    </row>
    <row r="364" spans="3:49" ht="13.5" hidden="1" x14ac:dyDescent="0.3">
      <c r="C364" s="276" t="s">
        <v>81</v>
      </c>
      <c r="D364" s="431" t="s">
        <v>2493</v>
      </c>
      <c r="E364" s="275" t="s">
        <v>1019</v>
      </c>
      <c r="F364" s="276" t="s">
        <v>1020</v>
      </c>
      <c r="G364" s="276" t="s">
        <v>393</v>
      </c>
      <c r="H364" s="275" t="s">
        <v>122</v>
      </c>
      <c r="I364" s="275" t="s">
        <v>123</v>
      </c>
      <c r="J364" s="282" t="s">
        <v>2881</v>
      </c>
      <c r="K364" s="283">
        <v>44575</v>
      </c>
      <c r="L364" s="283"/>
      <c r="M364" s="283">
        <v>44397</v>
      </c>
      <c r="N364" s="283">
        <v>44397</v>
      </c>
      <c r="O364" s="283">
        <v>44397</v>
      </c>
      <c r="P364" s="275" t="s">
        <v>12</v>
      </c>
      <c r="Q364" s="275" t="s">
        <v>2810</v>
      </c>
      <c r="V364" s="275"/>
      <c r="X364" s="275"/>
      <c r="Y364" s="275"/>
      <c r="Z364" s="276" t="e">
        <f>VLOOKUP(功能_33[[#This Row],[User]],SKL放款!A:G,7,FALSE)</f>
        <v>#N/A</v>
      </c>
      <c r="AA364" s="283">
        <v>44533</v>
      </c>
      <c r="AB364" s="283" t="s">
        <v>181</v>
      </c>
      <c r="AC364" s="283"/>
      <c r="AD364" s="283">
        <v>44397</v>
      </c>
      <c r="AE364" s="283">
        <v>44550</v>
      </c>
      <c r="AF364" s="283"/>
      <c r="AG364" s="283"/>
      <c r="AH364" s="334"/>
      <c r="AI364" s="283">
        <f>IFERROR(IF(VLOOKUP(功能_33[[#This Row],[功能代號]],E:S,11,FALSE)=0,"",VLOOKUP(功能_33[[#This Row],[功能代號]],E:S,11,FALSE)),"")</f>
        <v>44397</v>
      </c>
      <c r="AJ364" s="283"/>
      <c r="AK364" s="283"/>
      <c r="AL364" s="276"/>
      <c r="AM364" s="283"/>
      <c r="AN364" s="275" t="s">
        <v>2623</v>
      </c>
      <c r="AQ364" s="507" t="str">
        <f t="shared" si="42"/>
        <v>5-2</v>
      </c>
      <c r="AR364" s="509" t="str">
        <f t="shared" si="43"/>
        <v/>
      </c>
      <c r="AS364" s="511" t="str">
        <f t="shared" si="44"/>
        <v/>
      </c>
      <c r="AT364" s="513" t="str">
        <f t="shared" si="45"/>
        <v/>
      </c>
      <c r="AU364" s="515" t="str">
        <f t="shared" si="46"/>
        <v/>
      </c>
      <c r="AV364" s="517" t="str">
        <f t="shared" si="47"/>
        <v/>
      </c>
      <c r="AW364" s="589" t="str">
        <f>IFERROR(VLOOKUP(功能_33[[#This Row],[功能代號]],SIT_FT!D:D,1,FALSE),"")</f>
        <v>L5914</v>
      </c>
    </row>
    <row r="365" spans="3:49" ht="17" hidden="1" x14ac:dyDescent="0.3">
      <c r="C365" s="276" t="s">
        <v>81</v>
      </c>
      <c r="D365" s="431" t="s">
        <v>2493</v>
      </c>
      <c r="E365" s="275" t="s">
        <v>1021</v>
      </c>
      <c r="F365" s="276" t="s">
        <v>1022</v>
      </c>
      <c r="G365" s="276"/>
      <c r="H365" s="275" t="s">
        <v>122</v>
      </c>
      <c r="I365" s="275" t="s">
        <v>123</v>
      </c>
      <c r="J365" s="282" t="s">
        <v>2881</v>
      </c>
      <c r="K365" s="283">
        <v>44582</v>
      </c>
      <c r="L365" s="283"/>
      <c r="M365" s="283">
        <v>44397</v>
      </c>
      <c r="N365" s="283">
        <v>44397</v>
      </c>
      <c r="O365" s="283">
        <v>44533</v>
      </c>
      <c r="P365" s="275" t="s">
        <v>12</v>
      </c>
      <c r="Q365" s="258" t="s">
        <v>2810</v>
      </c>
      <c r="S365" s="275">
        <v>1</v>
      </c>
      <c r="T365" s="275" t="s">
        <v>1002</v>
      </c>
      <c r="V365" s="275"/>
      <c r="X365" s="275"/>
      <c r="Y365" s="275"/>
      <c r="Z365" s="276" t="e">
        <f>VLOOKUP(功能_33[[#This Row],[User]],SKL放款!A:G,7,FALSE)</f>
        <v>#N/A</v>
      </c>
      <c r="AA365" s="283">
        <v>44533</v>
      </c>
      <c r="AB365" s="283" t="s">
        <v>119</v>
      </c>
      <c r="AC365" s="268">
        <v>44550</v>
      </c>
      <c r="AD365" s="283">
        <v>44550</v>
      </c>
      <c r="AE365" s="283">
        <v>44550</v>
      </c>
      <c r="AF365" s="283"/>
      <c r="AG365" s="283"/>
      <c r="AH365" s="334"/>
      <c r="AI365" s="283">
        <f>IFERROR(IF(VLOOKUP(功能_33[[#This Row],[功能代號]],E:S,11,FALSE)=0,"",VLOOKUP(功能_33[[#This Row],[功能代號]],E:S,11,FALSE)),"")</f>
        <v>44533</v>
      </c>
      <c r="AJ365" s="283"/>
      <c r="AK365" s="283"/>
      <c r="AL365" s="276"/>
      <c r="AM365" s="283">
        <v>44397</v>
      </c>
      <c r="AN365" s="588" t="s">
        <v>2813</v>
      </c>
      <c r="AO365" s="576" t="s">
        <v>2814</v>
      </c>
      <c r="AQ365" s="507" t="str">
        <f t="shared" si="42"/>
        <v>5-2</v>
      </c>
      <c r="AR365" s="509" t="str">
        <f t="shared" si="43"/>
        <v/>
      </c>
      <c r="AS365" s="511" t="str">
        <f t="shared" si="44"/>
        <v/>
      </c>
      <c r="AT365" s="513" t="str">
        <f t="shared" si="45"/>
        <v/>
      </c>
      <c r="AU365" s="515" t="str">
        <f t="shared" si="46"/>
        <v/>
      </c>
      <c r="AV365" s="517" t="str">
        <f t="shared" si="47"/>
        <v/>
      </c>
      <c r="AW365" s="589" t="str">
        <f>IFERROR(VLOOKUP(功能_33[[#This Row],[功能代號]],SIT_FT!D:D,1,FALSE),"")</f>
        <v>L5407</v>
      </c>
    </row>
    <row r="366" spans="3:49" ht="13.5" hidden="1" x14ac:dyDescent="0.3">
      <c r="C366" s="276" t="s">
        <v>82</v>
      </c>
      <c r="D366" s="276" t="s">
        <v>2483</v>
      </c>
      <c r="E366" s="275" t="s">
        <v>576</v>
      </c>
      <c r="F366" s="276" t="s">
        <v>577</v>
      </c>
      <c r="G366" s="276"/>
      <c r="H366" s="275" t="s">
        <v>179</v>
      </c>
      <c r="I366" s="275" t="s">
        <v>300</v>
      </c>
      <c r="J366" s="218" t="s">
        <v>2875</v>
      </c>
      <c r="K366" s="283">
        <v>44566</v>
      </c>
      <c r="L366" s="283">
        <v>44566</v>
      </c>
      <c r="M366" s="283">
        <v>44516</v>
      </c>
      <c r="N366" s="283">
        <v>44467</v>
      </c>
      <c r="O366" s="283">
        <v>44472</v>
      </c>
      <c r="P366" s="275" t="s">
        <v>12</v>
      </c>
      <c r="Q366" s="275" t="s">
        <v>553</v>
      </c>
      <c r="V366" s="275"/>
      <c r="X366" s="275"/>
      <c r="Y366" s="275"/>
      <c r="Z366" s="276" t="str">
        <f>VLOOKUP(功能_33[[#This Row],[User]],SKL放款!A:G,7,FALSE)</f>
        <v>放款審查課</v>
      </c>
      <c r="AA366" s="283">
        <v>44472</v>
      </c>
      <c r="AB366" s="283" t="s">
        <v>119</v>
      </c>
      <c r="AC366" s="268">
        <v>44544</v>
      </c>
      <c r="AD366" s="268">
        <v>44544</v>
      </c>
      <c r="AE366" s="283">
        <v>44550</v>
      </c>
      <c r="AF366" s="283"/>
      <c r="AG366" s="283"/>
      <c r="AH366" s="334"/>
      <c r="AI366" s="283">
        <f>IFERROR(IF(VLOOKUP(功能_33[[#This Row],[功能代號]],E:S,11,FALSE)=0,"",VLOOKUP(功能_33[[#This Row],[功能代號]],E:S,11,FALSE)),"")</f>
        <v>44472</v>
      </c>
      <c r="AJ366" s="283"/>
      <c r="AK366" s="283"/>
      <c r="AL366" s="276"/>
      <c r="AM366" s="283"/>
      <c r="AN366" s="287" t="s">
        <v>566</v>
      </c>
      <c r="AO366" s="288" t="s">
        <v>567</v>
      </c>
      <c r="AQ366" s="507" t="str">
        <f t="shared" si="42"/>
        <v>6-7</v>
      </c>
      <c r="AR366" s="509" t="str">
        <f t="shared" si="43"/>
        <v/>
      </c>
      <c r="AS366" s="511" t="str">
        <f t="shared" si="44"/>
        <v/>
      </c>
      <c r="AT366" s="513" t="str">
        <f t="shared" si="45"/>
        <v/>
      </c>
      <c r="AU366" s="515" t="str">
        <f t="shared" si="46"/>
        <v/>
      </c>
      <c r="AV366" s="517" t="str">
        <f t="shared" si="47"/>
        <v/>
      </c>
      <c r="AW366" s="589" t="str">
        <f>IFERROR(VLOOKUP(功能_33[[#This Row],[功能代號]],SIT_FT!D:D,1,FALSE),"")</f>
        <v>L6704</v>
      </c>
    </row>
    <row r="367" spans="3:49" ht="13.5" hidden="1" x14ac:dyDescent="0.3">
      <c r="C367" s="276" t="s">
        <v>82</v>
      </c>
      <c r="D367" s="431" t="s">
        <v>2483</v>
      </c>
      <c r="E367" s="275" t="s">
        <v>1025</v>
      </c>
      <c r="F367" s="276" t="s">
        <v>1026</v>
      </c>
      <c r="G367" s="276"/>
      <c r="H367" s="275" t="s">
        <v>122</v>
      </c>
      <c r="I367" s="275" t="s">
        <v>123</v>
      </c>
      <c r="J367" s="218" t="s">
        <v>2875</v>
      </c>
      <c r="K367" s="283">
        <v>44575</v>
      </c>
      <c r="L367" s="275"/>
      <c r="M367" s="283">
        <v>44398</v>
      </c>
      <c r="N367" s="283">
        <v>44398</v>
      </c>
      <c r="O367" s="283">
        <v>44533</v>
      </c>
      <c r="P367" s="275" t="s">
        <v>12</v>
      </c>
      <c r="Q367" s="258" t="s">
        <v>2810</v>
      </c>
      <c r="V367" s="275"/>
      <c r="X367" s="275"/>
      <c r="Y367" s="275"/>
      <c r="Z367" s="276" t="e">
        <f>VLOOKUP(功能_33[[#This Row],[User]],SKL放款!A:G,7,FALSE)</f>
        <v>#N/A</v>
      </c>
      <c r="AA367" s="283">
        <v>44533</v>
      </c>
      <c r="AB367" s="283" t="s">
        <v>119</v>
      </c>
      <c r="AC367" s="268">
        <v>44550</v>
      </c>
      <c r="AD367" s="283">
        <v>44550</v>
      </c>
      <c r="AE367" s="283">
        <v>44550</v>
      </c>
      <c r="AF367" s="283"/>
      <c r="AG367" s="283"/>
      <c r="AH367" s="334"/>
      <c r="AI367" s="283">
        <f>IFERROR(IF(VLOOKUP(功能_33[[#This Row],[功能代號]],E:S,11,FALSE)=0,"",VLOOKUP(功能_33[[#This Row],[功能代號]],E:S,11,FALSE)),"")</f>
        <v>44533</v>
      </c>
      <c r="AJ367" s="283"/>
      <c r="AK367" s="283"/>
      <c r="AL367" s="276"/>
      <c r="AM367" s="283">
        <v>44398</v>
      </c>
      <c r="AN367" s="275" t="s">
        <v>2623</v>
      </c>
      <c r="AQ367" s="507" t="str">
        <f t="shared" si="42"/>
        <v>6-7</v>
      </c>
      <c r="AR367" s="509" t="str">
        <f t="shared" si="43"/>
        <v/>
      </c>
      <c r="AS367" s="511" t="str">
        <f t="shared" si="44"/>
        <v/>
      </c>
      <c r="AT367" s="513" t="str">
        <f t="shared" si="45"/>
        <v/>
      </c>
      <c r="AU367" s="515" t="str">
        <f t="shared" si="46"/>
        <v/>
      </c>
      <c r="AV367" s="517" t="str">
        <f t="shared" si="47"/>
        <v/>
      </c>
      <c r="AW367" s="589" t="str">
        <f>IFERROR(VLOOKUP(功能_33[[#This Row],[功能代號]],SIT_FT!D:D,1,FALSE),"")</f>
        <v>L6994</v>
      </c>
    </row>
    <row r="368" spans="3:49" ht="13.5" hidden="1" x14ac:dyDescent="0.3">
      <c r="C368" s="276" t="s">
        <v>82</v>
      </c>
      <c r="D368" s="276" t="s">
        <v>2483</v>
      </c>
      <c r="E368" s="275" t="s">
        <v>568</v>
      </c>
      <c r="F368" s="276" t="s">
        <v>567</v>
      </c>
      <c r="G368" s="276"/>
      <c r="H368" s="275" t="s">
        <v>179</v>
      </c>
      <c r="I368" s="275" t="s">
        <v>300</v>
      </c>
      <c r="J368" s="218" t="s">
        <v>2875</v>
      </c>
      <c r="K368" s="283">
        <v>44566</v>
      </c>
      <c r="L368" s="283">
        <v>44566</v>
      </c>
      <c r="M368" s="283">
        <v>44516</v>
      </c>
      <c r="N368" s="283">
        <v>44467</v>
      </c>
      <c r="O368" s="283">
        <v>44472</v>
      </c>
      <c r="P368" s="275" t="s">
        <v>12</v>
      </c>
      <c r="Q368" s="275" t="s">
        <v>553</v>
      </c>
      <c r="V368" s="275"/>
      <c r="X368" s="275"/>
      <c r="Y368" s="275"/>
      <c r="Z368" s="276" t="str">
        <f>VLOOKUP(功能_33[[#This Row],[User]],SKL放款!A:G,7,FALSE)</f>
        <v>放款審查課</v>
      </c>
      <c r="AA368" s="283">
        <v>44472</v>
      </c>
      <c r="AB368" s="283" t="s">
        <v>119</v>
      </c>
      <c r="AC368" s="268">
        <v>44544</v>
      </c>
      <c r="AD368" s="268">
        <v>44544</v>
      </c>
      <c r="AE368" s="283">
        <v>44550</v>
      </c>
      <c r="AF368" s="283"/>
      <c r="AG368" s="283"/>
      <c r="AH368" s="334"/>
      <c r="AI368" s="283">
        <f>IFERROR(IF(VLOOKUP(功能_33[[#This Row],[功能代號]],E:S,11,FALSE)=0,"",VLOOKUP(功能_33[[#This Row],[功能代號]],E:S,11,FALSE)),"")</f>
        <v>44472</v>
      </c>
      <c r="AJ368" s="283"/>
      <c r="AK368" s="283"/>
      <c r="AL368" s="276"/>
      <c r="AM368" s="283"/>
      <c r="AN368" s="287" t="s">
        <v>566</v>
      </c>
      <c r="AO368" s="288" t="s">
        <v>567</v>
      </c>
      <c r="AQ368" s="507" t="str">
        <f t="shared" si="42"/>
        <v>6-7</v>
      </c>
      <c r="AR368" s="509" t="str">
        <f t="shared" si="43"/>
        <v/>
      </c>
      <c r="AS368" s="511" t="str">
        <f t="shared" si="44"/>
        <v/>
      </c>
      <c r="AT368" s="513" t="str">
        <f t="shared" si="45"/>
        <v/>
      </c>
      <c r="AU368" s="515" t="str">
        <f t="shared" si="46"/>
        <v/>
      </c>
      <c r="AV368" s="517" t="str">
        <f t="shared" si="47"/>
        <v/>
      </c>
      <c r="AW368" s="589" t="str">
        <f>IFERROR(VLOOKUP(功能_33[[#This Row],[功能代號]],SIT_FT!D:D,1,FALSE),"")</f>
        <v>L6705</v>
      </c>
    </row>
    <row r="369" spans="3:49" ht="13.5" hidden="1" x14ac:dyDescent="0.3">
      <c r="C369" s="276" t="s">
        <v>82</v>
      </c>
      <c r="D369" s="431" t="s">
        <v>2483</v>
      </c>
      <c r="E369" s="275" t="s">
        <v>1029</v>
      </c>
      <c r="F369" s="276" t="s">
        <v>1030</v>
      </c>
      <c r="G369" s="276"/>
      <c r="H369" s="275" t="s">
        <v>122</v>
      </c>
      <c r="I369" s="275" t="s">
        <v>123</v>
      </c>
      <c r="J369" s="218" t="s">
        <v>2875</v>
      </c>
      <c r="K369" s="283">
        <v>44582</v>
      </c>
      <c r="L369" s="275"/>
      <c r="M369" s="283">
        <v>44398</v>
      </c>
      <c r="N369" s="283">
        <v>44398</v>
      </c>
      <c r="O369" s="283">
        <v>44536</v>
      </c>
      <c r="P369" s="275" t="s">
        <v>12</v>
      </c>
      <c r="Q369" s="258" t="s">
        <v>2810</v>
      </c>
      <c r="V369" s="275"/>
      <c r="X369" s="275"/>
      <c r="Y369" s="275"/>
      <c r="Z369" s="276" t="e">
        <f>VLOOKUP(功能_33[[#This Row],[User]],SKL放款!A:G,7,FALSE)</f>
        <v>#N/A</v>
      </c>
      <c r="AA369" s="283">
        <v>44536</v>
      </c>
      <c r="AB369" s="283" t="s">
        <v>119</v>
      </c>
      <c r="AC369" s="268">
        <v>44550</v>
      </c>
      <c r="AD369" s="283">
        <v>44550</v>
      </c>
      <c r="AE369" s="283">
        <v>44550</v>
      </c>
      <c r="AF369" s="283"/>
      <c r="AG369" s="283"/>
      <c r="AH369" s="334"/>
      <c r="AI369" s="283">
        <f>IFERROR(IF(VLOOKUP(功能_33[[#This Row],[功能代號]],E:S,11,FALSE)=0,"",VLOOKUP(功能_33[[#This Row],[功能代號]],E:S,11,FALSE)),"")</f>
        <v>44536</v>
      </c>
      <c r="AJ369" s="283"/>
      <c r="AK369" s="283"/>
      <c r="AL369" s="276"/>
      <c r="AM369" s="283">
        <v>44398</v>
      </c>
      <c r="AN369" s="275" t="s">
        <v>2623</v>
      </c>
      <c r="AQ369" s="507" t="str">
        <f t="shared" si="42"/>
        <v>6-7</v>
      </c>
      <c r="AR369" s="509" t="str">
        <f t="shared" si="43"/>
        <v/>
      </c>
      <c r="AS369" s="511" t="str">
        <f t="shared" si="44"/>
        <v/>
      </c>
      <c r="AT369" s="513" t="str">
        <f t="shared" si="45"/>
        <v/>
      </c>
      <c r="AU369" s="515" t="str">
        <f t="shared" si="46"/>
        <v/>
      </c>
      <c r="AV369" s="517" t="str">
        <f t="shared" si="47"/>
        <v/>
      </c>
      <c r="AW369" s="589" t="str">
        <f>IFERROR(VLOOKUP(功能_33[[#This Row],[功能代號]],SIT_FT!D:D,1,FALSE),"")</f>
        <v>L6757</v>
      </c>
    </row>
    <row r="370" spans="3:49" ht="13.5" hidden="1" x14ac:dyDescent="0.3">
      <c r="C370" s="276" t="s">
        <v>82</v>
      </c>
      <c r="D370" s="276" t="s">
        <v>2483</v>
      </c>
      <c r="E370" s="275" t="s">
        <v>546</v>
      </c>
      <c r="F370" s="276" t="s">
        <v>545</v>
      </c>
      <c r="G370" s="276"/>
      <c r="H370" s="275" t="s">
        <v>179</v>
      </c>
      <c r="I370" s="275" t="s">
        <v>300</v>
      </c>
      <c r="J370" s="218" t="s">
        <v>2875</v>
      </c>
      <c r="K370" s="283">
        <v>44567</v>
      </c>
      <c r="L370" s="283">
        <v>44567</v>
      </c>
      <c r="M370" s="283">
        <v>44515</v>
      </c>
      <c r="N370" s="283">
        <v>44466</v>
      </c>
      <c r="O370" s="283">
        <v>44466</v>
      </c>
      <c r="P370" s="275" t="s">
        <v>12</v>
      </c>
      <c r="Q370" s="275" t="s">
        <v>11</v>
      </c>
      <c r="V370" s="275"/>
      <c r="X370" s="275"/>
      <c r="Y370" s="275"/>
      <c r="Z370" s="276" t="str">
        <f>VLOOKUP(功能_33[[#This Row],[User]],SKL放款!A:G,7,FALSE)</f>
        <v>放款服務課</v>
      </c>
      <c r="AA370" s="283">
        <v>44533</v>
      </c>
      <c r="AB370" s="283" t="s">
        <v>181</v>
      </c>
      <c r="AC370" s="283">
        <v>44529</v>
      </c>
      <c r="AD370" s="283">
        <v>44529</v>
      </c>
      <c r="AE370" s="283">
        <v>44550</v>
      </c>
      <c r="AF370" s="283"/>
      <c r="AG370" s="283"/>
      <c r="AH370" s="334"/>
      <c r="AI370" s="283">
        <f>IFERROR(IF(VLOOKUP(功能_33[[#This Row],[功能代號]],E:S,11,FALSE)=0,"",VLOOKUP(功能_33[[#This Row],[功能代號]],E:S,11,FALSE)),"")</f>
        <v>44466</v>
      </c>
      <c r="AJ370" s="283"/>
      <c r="AK370" s="283"/>
      <c r="AL370" s="276"/>
      <c r="AM370" s="283"/>
      <c r="AN370" s="287" t="s">
        <v>544</v>
      </c>
      <c r="AO370" s="288" t="s">
        <v>545</v>
      </c>
      <c r="AQ370" s="507" t="str">
        <f t="shared" si="42"/>
        <v>6-7</v>
      </c>
      <c r="AR370" s="509" t="str">
        <f t="shared" si="43"/>
        <v/>
      </c>
      <c r="AS370" s="511" t="str">
        <f t="shared" si="44"/>
        <v/>
      </c>
      <c r="AT370" s="513" t="str">
        <f t="shared" si="45"/>
        <v/>
      </c>
      <c r="AU370" s="515" t="str">
        <f t="shared" si="46"/>
        <v/>
      </c>
      <c r="AV370" s="517" t="str">
        <f t="shared" si="47"/>
        <v/>
      </c>
      <c r="AW370" s="589" t="str">
        <f>IFERROR(VLOOKUP(功能_33[[#This Row],[功能代號]],SIT_FT!D:D,1,FALSE),"")</f>
        <v>L6707</v>
      </c>
    </row>
    <row r="371" spans="3:49" ht="13.5" hidden="1" x14ac:dyDescent="0.3">
      <c r="C371" s="276" t="s">
        <v>82</v>
      </c>
      <c r="D371" s="276" t="s">
        <v>2483</v>
      </c>
      <c r="E371" s="275" t="s">
        <v>549</v>
      </c>
      <c r="F371" s="276" t="s">
        <v>550</v>
      </c>
      <c r="G371" s="276"/>
      <c r="H371" s="275" t="s">
        <v>179</v>
      </c>
      <c r="I371" s="275" t="s">
        <v>300</v>
      </c>
      <c r="J371" s="218" t="s">
        <v>2875</v>
      </c>
      <c r="K371" s="283">
        <v>44567</v>
      </c>
      <c r="L371" s="283">
        <v>44567</v>
      </c>
      <c r="M371" s="283">
        <v>44515</v>
      </c>
      <c r="N371" s="283">
        <v>44466</v>
      </c>
      <c r="O371" s="283">
        <v>44466</v>
      </c>
      <c r="P371" s="275" t="s">
        <v>7</v>
      </c>
      <c r="Q371" s="275" t="s">
        <v>11</v>
      </c>
      <c r="V371" s="275"/>
      <c r="X371" s="275"/>
      <c r="Y371" s="275"/>
      <c r="Z371" s="276" t="str">
        <f>VLOOKUP(功能_33[[#This Row],[User]],SKL放款!A:G,7,FALSE)</f>
        <v>放款服務課</v>
      </c>
      <c r="AA371" s="283">
        <v>44533</v>
      </c>
      <c r="AB371" s="283" t="s">
        <v>181</v>
      </c>
      <c r="AC371" s="283">
        <v>44529</v>
      </c>
      <c r="AD371" s="283">
        <v>44529</v>
      </c>
      <c r="AE371" s="283">
        <v>44550</v>
      </c>
      <c r="AF371" s="283"/>
      <c r="AG371" s="283"/>
      <c r="AH371" s="334"/>
      <c r="AI371" s="283">
        <f>IFERROR(IF(VLOOKUP(功能_33[[#This Row],[功能代號]],E:S,11,FALSE)=0,"",VLOOKUP(功能_33[[#This Row],[功能代號]],E:S,11,FALSE)),"")</f>
        <v>44466</v>
      </c>
      <c r="AJ371" s="283"/>
      <c r="AK371" s="283"/>
      <c r="AL371" s="276"/>
      <c r="AM371" s="283"/>
      <c r="AN371" s="275" t="s">
        <v>176</v>
      </c>
      <c r="AQ371" s="507" t="str">
        <f t="shared" si="42"/>
        <v>6-7</v>
      </c>
      <c r="AR371" s="509" t="str">
        <f t="shared" si="43"/>
        <v/>
      </c>
      <c r="AS371" s="511" t="str">
        <f t="shared" si="44"/>
        <v/>
      </c>
      <c r="AT371" s="513" t="str">
        <f t="shared" si="45"/>
        <v/>
      </c>
      <c r="AU371" s="515" t="str">
        <f t="shared" si="46"/>
        <v/>
      </c>
      <c r="AV371" s="517" t="str">
        <f t="shared" si="47"/>
        <v/>
      </c>
      <c r="AW371" s="589" t="str">
        <f>IFERROR(VLOOKUP(功能_33[[#This Row],[功能代號]],SIT_FT!D:D,1,FALSE),"")</f>
        <v>L6708</v>
      </c>
    </row>
    <row r="372" spans="3:49" ht="13.5" hidden="1" x14ac:dyDescent="0.3">
      <c r="C372" s="276" t="s">
        <v>82</v>
      </c>
      <c r="D372" s="431" t="s">
        <v>2483</v>
      </c>
      <c r="E372" s="275" t="s">
        <v>1035</v>
      </c>
      <c r="F372" s="276" t="s">
        <v>1036</v>
      </c>
      <c r="G372" s="276"/>
      <c r="H372" s="275" t="s">
        <v>122</v>
      </c>
      <c r="I372" s="275" t="s">
        <v>123</v>
      </c>
      <c r="J372" s="218" t="s">
        <v>2875</v>
      </c>
      <c r="K372" s="283">
        <v>44575</v>
      </c>
      <c r="L372" s="275"/>
      <c r="M372" s="283">
        <v>44397</v>
      </c>
      <c r="N372" s="283">
        <v>44397</v>
      </c>
      <c r="O372" s="283">
        <v>44397</v>
      </c>
      <c r="P372" s="275" t="s">
        <v>12</v>
      </c>
      <c r="Q372" s="275" t="s">
        <v>2810</v>
      </c>
      <c r="V372" s="275"/>
      <c r="X372" s="275"/>
      <c r="Y372" s="275"/>
      <c r="Z372" s="276" t="e">
        <f>VLOOKUP(功能_33[[#This Row],[User]],SKL放款!A:G,7,FALSE)</f>
        <v>#N/A</v>
      </c>
      <c r="AA372" s="283">
        <v>44533</v>
      </c>
      <c r="AB372" s="283" t="s">
        <v>181</v>
      </c>
      <c r="AC372" s="283"/>
      <c r="AD372" s="283">
        <v>44397</v>
      </c>
      <c r="AE372" s="283">
        <v>44550</v>
      </c>
      <c r="AF372" s="283"/>
      <c r="AG372" s="283"/>
      <c r="AH372" s="334"/>
      <c r="AI372" s="283">
        <f>IFERROR(IF(VLOOKUP(功能_33[[#This Row],[功能代號]],E:S,11,FALSE)=0,"",VLOOKUP(功能_33[[#This Row],[功能代號]],E:S,11,FALSE)),"")</f>
        <v>44397</v>
      </c>
      <c r="AJ372" s="283"/>
      <c r="AK372" s="283"/>
      <c r="AL372" s="276"/>
      <c r="AM372" s="283">
        <v>44397</v>
      </c>
      <c r="AN372" s="275" t="s">
        <v>2623</v>
      </c>
      <c r="AQ372" s="507" t="str">
        <f t="shared" si="42"/>
        <v>6-7</v>
      </c>
      <c r="AR372" s="509" t="str">
        <f t="shared" si="43"/>
        <v/>
      </c>
      <c r="AS372" s="511" t="str">
        <f t="shared" si="44"/>
        <v/>
      </c>
      <c r="AT372" s="513" t="str">
        <f t="shared" si="45"/>
        <v/>
      </c>
      <c r="AU372" s="515" t="str">
        <f t="shared" si="46"/>
        <v/>
      </c>
      <c r="AV372" s="517" t="str">
        <f t="shared" si="47"/>
        <v/>
      </c>
      <c r="AW372" s="589" t="str">
        <f>IFERROR(VLOOKUP(功能_33[[#This Row],[功能代號]],SIT_FT!D:D,1,FALSE),"")</f>
        <v>L6087</v>
      </c>
    </row>
    <row r="373" spans="3:49" ht="13.5" hidden="1" x14ac:dyDescent="0.3">
      <c r="C373" s="276" t="s">
        <v>82</v>
      </c>
      <c r="D373" s="431" t="s">
        <v>2483</v>
      </c>
      <c r="E373" s="275" t="s">
        <v>1037</v>
      </c>
      <c r="F373" s="276" t="s">
        <v>1038</v>
      </c>
      <c r="G373" s="276"/>
      <c r="H373" s="275" t="s">
        <v>122</v>
      </c>
      <c r="I373" s="275" t="s">
        <v>123</v>
      </c>
      <c r="J373" s="218" t="s">
        <v>2875</v>
      </c>
      <c r="K373" s="283">
        <v>44582</v>
      </c>
      <c r="L373" s="275"/>
      <c r="M373" s="283">
        <v>44397</v>
      </c>
      <c r="N373" s="283">
        <v>44397</v>
      </c>
      <c r="O373" s="283">
        <v>44536</v>
      </c>
      <c r="P373" s="275" t="s">
        <v>12</v>
      </c>
      <c r="Q373" s="258" t="s">
        <v>2810</v>
      </c>
      <c r="V373" s="275"/>
      <c r="X373" s="275"/>
      <c r="Y373" s="275"/>
      <c r="Z373" s="276" t="e">
        <f>VLOOKUP(功能_33[[#This Row],[User]],SKL放款!A:G,7,FALSE)</f>
        <v>#N/A</v>
      </c>
      <c r="AA373" s="283">
        <v>44536</v>
      </c>
      <c r="AB373" s="283" t="s">
        <v>119</v>
      </c>
      <c r="AC373" s="268">
        <v>44550</v>
      </c>
      <c r="AD373" s="283">
        <v>44550</v>
      </c>
      <c r="AE373" s="283">
        <v>44550</v>
      </c>
      <c r="AF373" s="283"/>
      <c r="AG373" s="283"/>
      <c r="AH373" s="334"/>
      <c r="AI373" s="283">
        <f>IFERROR(IF(VLOOKUP(功能_33[[#This Row],[功能代號]],E:S,11,FALSE)=0,"",VLOOKUP(功能_33[[#This Row],[功能代號]],E:S,11,FALSE)),"")</f>
        <v>44536</v>
      </c>
      <c r="AJ373" s="283"/>
      <c r="AK373" s="283"/>
      <c r="AL373" s="276"/>
      <c r="AM373" s="283">
        <v>44397</v>
      </c>
      <c r="AN373" s="275" t="s">
        <v>2623</v>
      </c>
      <c r="AQ373" s="507" t="str">
        <f t="shared" si="42"/>
        <v>6-7</v>
      </c>
      <c r="AR373" s="509" t="str">
        <f t="shared" si="43"/>
        <v/>
      </c>
      <c r="AS373" s="511" t="str">
        <f t="shared" si="44"/>
        <v/>
      </c>
      <c r="AT373" s="513" t="str">
        <f t="shared" si="45"/>
        <v/>
      </c>
      <c r="AU373" s="515" t="str">
        <f t="shared" si="46"/>
        <v/>
      </c>
      <c r="AV373" s="517" t="str">
        <f t="shared" si="47"/>
        <v/>
      </c>
      <c r="AW373" s="589" t="str">
        <f>IFERROR(VLOOKUP(功能_33[[#This Row],[功能代號]],SIT_FT!D:D,1,FALSE),"")</f>
        <v>L6787</v>
      </c>
    </row>
    <row r="374" spans="3:49" ht="13.5" hidden="1" x14ac:dyDescent="0.3">
      <c r="C374" s="276" t="s">
        <v>82</v>
      </c>
      <c r="D374" s="276" t="s">
        <v>2483</v>
      </c>
      <c r="E374" s="275" t="s">
        <v>604</v>
      </c>
      <c r="F374" s="276" t="s">
        <v>605</v>
      </c>
      <c r="G374" s="276"/>
      <c r="H374" s="275" t="s">
        <v>179</v>
      </c>
      <c r="I374" s="275" t="s">
        <v>300</v>
      </c>
      <c r="J374" s="218" t="s">
        <v>2875</v>
      </c>
      <c r="K374" s="283">
        <v>44567</v>
      </c>
      <c r="L374" s="283">
        <v>44567</v>
      </c>
      <c r="M374" s="283">
        <v>44516</v>
      </c>
      <c r="N374" s="283">
        <v>44467</v>
      </c>
      <c r="O374" s="283">
        <v>44467</v>
      </c>
      <c r="P374" s="275" t="s">
        <v>12</v>
      </c>
      <c r="Q374" s="275" t="s">
        <v>158</v>
      </c>
      <c r="V374" s="275"/>
      <c r="X374" s="275"/>
      <c r="Y374" s="275"/>
      <c r="Z374" s="276" t="str">
        <f>VLOOKUP(功能_33[[#This Row],[User]],SKL放款!A:G,7,FALSE)</f>
        <v>放款服務課</v>
      </c>
      <c r="AA374" s="283">
        <v>44533</v>
      </c>
      <c r="AB374" s="283" t="s">
        <v>181</v>
      </c>
      <c r="AC374" s="283">
        <v>44529</v>
      </c>
      <c r="AD374" s="283">
        <v>44529</v>
      </c>
      <c r="AE374" s="283">
        <v>44550</v>
      </c>
      <c r="AF374" s="283"/>
      <c r="AG374" s="283"/>
      <c r="AH374" s="334"/>
      <c r="AI374" s="283">
        <f>IFERROR(IF(VLOOKUP(功能_33[[#This Row],[功能代號]],E:S,11,FALSE)=0,"",VLOOKUP(功能_33[[#This Row],[功能代號]],E:S,11,FALSE)),"")</f>
        <v>44467</v>
      </c>
      <c r="AJ374" s="283"/>
      <c r="AK374" s="283"/>
      <c r="AL374" s="276"/>
      <c r="AM374" s="283"/>
      <c r="AN374" s="287" t="s">
        <v>602</v>
      </c>
      <c r="AO374" s="288" t="s">
        <v>603</v>
      </c>
      <c r="AQ374" s="507" t="str">
        <f t="shared" si="42"/>
        <v>6-7</v>
      </c>
      <c r="AR374" s="509" t="str">
        <f t="shared" si="43"/>
        <v/>
      </c>
      <c r="AS374" s="511" t="str">
        <f t="shared" si="44"/>
        <v/>
      </c>
      <c r="AT374" s="513" t="str">
        <f t="shared" si="45"/>
        <v/>
      </c>
      <c r="AU374" s="515" t="str">
        <f t="shared" si="46"/>
        <v/>
      </c>
      <c r="AV374" s="517" t="str">
        <f t="shared" si="47"/>
        <v/>
      </c>
      <c r="AW374" s="589" t="str">
        <f>IFERROR(VLOOKUP(功能_33[[#This Row],[功能代號]],SIT_FT!D:D,1,FALSE),"")</f>
        <v>L6709</v>
      </c>
    </row>
    <row r="375" spans="3:49" ht="13.5" hidden="1" x14ac:dyDescent="0.3">
      <c r="C375" s="276" t="s">
        <v>82</v>
      </c>
      <c r="D375" s="431" t="s">
        <v>2481</v>
      </c>
      <c r="E375" s="275" t="s">
        <v>1041</v>
      </c>
      <c r="F375" s="258" t="s">
        <v>1042</v>
      </c>
      <c r="G375" s="258" t="s">
        <v>1043</v>
      </c>
      <c r="H375" s="275" t="s">
        <v>179</v>
      </c>
      <c r="I375" s="275" t="s">
        <v>123</v>
      </c>
      <c r="J375" s="218" t="s">
        <v>403</v>
      </c>
      <c r="K375" s="283">
        <v>44575</v>
      </c>
      <c r="L375" s="275"/>
      <c r="M375" s="283">
        <v>44397</v>
      </c>
      <c r="N375" s="283">
        <v>44397</v>
      </c>
      <c r="O375" s="283">
        <v>44397</v>
      </c>
      <c r="P375" s="275" t="s">
        <v>12</v>
      </c>
      <c r="Q375" s="275" t="s">
        <v>2810</v>
      </c>
      <c r="V375" s="275"/>
      <c r="X375" s="275"/>
      <c r="Y375" s="275"/>
      <c r="Z375" s="276" t="e">
        <f>VLOOKUP(功能_33[[#This Row],[User]],SKL放款!A:G,7,FALSE)</f>
        <v>#N/A</v>
      </c>
      <c r="AA375" s="283">
        <v>44533</v>
      </c>
      <c r="AB375" s="283" t="s">
        <v>181</v>
      </c>
      <c r="AC375" s="283"/>
      <c r="AD375" s="283">
        <v>44397</v>
      </c>
      <c r="AE375" s="283">
        <v>44544</v>
      </c>
      <c r="AF375" s="283"/>
      <c r="AG375" s="283"/>
      <c r="AH375" s="334"/>
      <c r="AI375" s="283">
        <f>IFERROR(IF(VLOOKUP(功能_33[[#This Row],[功能代號]],E:S,11,FALSE)=0,"",VLOOKUP(功能_33[[#This Row],[功能代號]],E:S,11,FALSE)),"")</f>
        <v>44397</v>
      </c>
      <c r="AJ375" s="283"/>
      <c r="AK375" s="283"/>
      <c r="AL375" s="276"/>
      <c r="AM375" s="283">
        <v>44397</v>
      </c>
      <c r="AN375" s="275" t="s">
        <v>2623</v>
      </c>
      <c r="AQ375" s="507" t="str">
        <f t="shared" si="42"/>
        <v>6-5</v>
      </c>
      <c r="AR375" s="509" t="str">
        <f t="shared" si="43"/>
        <v/>
      </c>
      <c r="AS375" s="511" t="str">
        <f t="shared" si="44"/>
        <v/>
      </c>
      <c r="AT375" s="513" t="str">
        <f t="shared" si="45"/>
        <v/>
      </c>
      <c r="AU375" s="515" t="str">
        <f t="shared" si="46"/>
        <v/>
      </c>
      <c r="AV375" s="517" t="str">
        <f t="shared" si="47"/>
        <v/>
      </c>
      <c r="AW375" s="589" t="str">
        <f>IFERROR(VLOOKUP(功能_33[[#This Row],[功能代號]],SIT_FT!D:D,1,FALSE),"")</f>
        <v>L650A</v>
      </c>
    </row>
    <row r="376" spans="3:49" ht="13.5" hidden="1" x14ac:dyDescent="0.3">
      <c r="C376" s="276" t="s">
        <v>82</v>
      </c>
      <c r="D376" s="431" t="s">
        <v>2481</v>
      </c>
      <c r="E376" s="275" t="s">
        <v>1044</v>
      </c>
      <c r="F376" s="258" t="s">
        <v>1045</v>
      </c>
      <c r="G376" s="258" t="s">
        <v>1046</v>
      </c>
      <c r="H376" s="275" t="s">
        <v>179</v>
      </c>
      <c r="I376" s="275" t="s">
        <v>123</v>
      </c>
      <c r="J376" s="218" t="s">
        <v>403</v>
      </c>
      <c r="K376" s="283">
        <v>44575</v>
      </c>
      <c r="L376" s="275"/>
      <c r="M376" s="283">
        <v>44397</v>
      </c>
      <c r="N376" s="283">
        <v>44397</v>
      </c>
      <c r="O376" s="283">
        <v>44397</v>
      </c>
      <c r="P376" s="275" t="s">
        <v>12</v>
      </c>
      <c r="Q376" s="275" t="s">
        <v>2810</v>
      </c>
      <c r="V376" s="275"/>
      <c r="X376" s="275"/>
      <c r="Y376" s="275"/>
      <c r="Z376" s="276" t="e">
        <f>VLOOKUP(功能_33[[#This Row],[User]],SKL放款!A:G,7,FALSE)</f>
        <v>#N/A</v>
      </c>
      <c r="AA376" s="283">
        <v>44533</v>
      </c>
      <c r="AB376" s="283" t="s">
        <v>181</v>
      </c>
      <c r="AC376" s="283"/>
      <c r="AD376" s="283">
        <v>44397</v>
      </c>
      <c r="AE376" s="283">
        <v>44544</v>
      </c>
      <c r="AF376" s="283"/>
      <c r="AG376" s="283"/>
      <c r="AH376" s="334"/>
      <c r="AI376" s="283">
        <f>IFERROR(IF(VLOOKUP(功能_33[[#This Row],[功能代號]],E:S,11,FALSE)=0,"",VLOOKUP(功能_33[[#This Row],[功能代號]],E:S,11,FALSE)),"")</f>
        <v>44397</v>
      </c>
      <c r="AJ376" s="283"/>
      <c r="AK376" s="283"/>
      <c r="AL376" s="276"/>
      <c r="AM376" s="283">
        <v>44397</v>
      </c>
      <c r="AN376" s="275" t="s">
        <v>2623</v>
      </c>
      <c r="AQ376" s="507" t="str">
        <f t="shared" si="42"/>
        <v>6-5</v>
      </c>
      <c r="AR376" s="509" t="str">
        <f t="shared" si="43"/>
        <v/>
      </c>
      <c r="AS376" s="511" t="str">
        <f t="shared" si="44"/>
        <v/>
      </c>
      <c r="AT376" s="513" t="str">
        <f t="shared" si="45"/>
        <v/>
      </c>
      <c r="AU376" s="515" t="str">
        <f t="shared" si="46"/>
        <v/>
      </c>
      <c r="AV376" s="517" t="str">
        <f t="shared" si="47"/>
        <v/>
      </c>
      <c r="AW376" s="589" t="str">
        <f>IFERROR(VLOOKUP(功能_33[[#This Row],[功能代號]],SIT_FT!D:D,1,FALSE),"")</f>
        <v>L650B</v>
      </c>
    </row>
    <row r="377" spans="3:49" ht="13.5" hidden="1" x14ac:dyDescent="0.3">
      <c r="C377" s="276" t="s">
        <v>82</v>
      </c>
      <c r="D377" s="431" t="s">
        <v>2481</v>
      </c>
      <c r="E377" s="275" t="s">
        <v>1047</v>
      </c>
      <c r="F377" s="258" t="s">
        <v>1048</v>
      </c>
      <c r="G377" s="258" t="s">
        <v>1046</v>
      </c>
      <c r="H377" s="275" t="s">
        <v>179</v>
      </c>
      <c r="I377" s="275" t="s">
        <v>123</v>
      </c>
      <c r="J377" s="218" t="s">
        <v>403</v>
      </c>
      <c r="K377" s="283">
        <v>44575</v>
      </c>
      <c r="L377" s="275"/>
      <c r="M377" s="283">
        <v>44397</v>
      </c>
      <c r="N377" s="283">
        <v>44397</v>
      </c>
      <c r="O377" s="283">
        <v>44397</v>
      </c>
      <c r="P377" s="275" t="s">
        <v>12</v>
      </c>
      <c r="Q377" s="275" t="s">
        <v>2810</v>
      </c>
      <c r="V377" s="275"/>
      <c r="X377" s="275"/>
      <c r="Y377" s="275"/>
      <c r="Z377" s="276" t="e">
        <f>VLOOKUP(功能_33[[#This Row],[User]],SKL放款!A:G,7,FALSE)</f>
        <v>#N/A</v>
      </c>
      <c r="AA377" s="283">
        <v>44533</v>
      </c>
      <c r="AB377" s="283" t="s">
        <v>181</v>
      </c>
      <c r="AC377" s="283"/>
      <c r="AD377" s="283">
        <v>44397</v>
      </c>
      <c r="AE377" s="283">
        <v>44544</v>
      </c>
      <c r="AF377" s="283"/>
      <c r="AG377" s="283"/>
      <c r="AH377" s="334"/>
      <c r="AI377" s="283">
        <f>IFERROR(IF(VLOOKUP(功能_33[[#This Row],[功能代號]],E:S,11,FALSE)=0,"",VLOOKUP(功能_33[[#This Row],[功能代號]],E:S,11,FALSE)),"")</f>
        <v>44397</v>
      </c>
      <c r="AJ377" s="283"/>
      <c r="AK377" s="283"/>
      <c r="AL377" s="276"/>
      <c r="AM377" s="283">
        <v>44397</v>
      </c>
      <c r="AN377" s="275" t="s">
        <v>2623</v>
      </c>
      <c r="AQ377" s="507" t="str">
        <f t="shared" si="42"/>
        <v>6-5</v>
      </c>
      <c r="AR377" s="509" t="str">
        <f t="shared" si="43"/>
        <v/>
      </c>
      <c r="AS377" s="511" t="str">
        <f t="shared" si="44"/>
        <v/>
      </c>
      <c r="AT377" s="513" t="str">
        <f t="shared" si="45"/>
        <v/>
      </c>
      <c r="AU377" s="515" t="str">
        <f t="shared" si="46"/>
        <v/>
      </c>
      <c r="AV377" s="517" t="str">
        <f t="shared" si="47"/>
        <v/>
      </c>
      <c r="AW377" s="589" t="str">
        <f>IFERROR(VLOOKUP(功能_33[[#This Row],[功能代號]],SIT_FT!D:D,1,FALSE),"")</f>
        <v>L650C</v>
      </c>
    </row>
    <row r="378" spans="3:49" ht="13.5" hidden="1" x14ac:dyDescent="0.3">
      <c r="C378" s="276" t="s">
        <v>82</v>
      </c>
      <c r="D378" s="431" t="s">
        <v>2481</v>
      </c>
      <c r="E378" s="275" t="s">
        <v>1049</v>
      </c>
      <c r="F378" s="258" t="s">
        <v>1050</v>
      </c>
      <c r="G378" s="258" t="s">
        <v>1046</v>
      </c>
      <c r="H378" s="275" t="s">
        <v>179</v>
      </c>
      <c r="I378" s="275" t="s">
        <v>123</v>
      </c>
      <c r="J378" s="218" t="s">
        <v>403</v>
      </c>
      <c r="K378" s="283">
        <v>44575</v>
      </c>
      <c r="L378" s="275"/>
      <c r="M378" s="283">
        <v>44397</v>
      </c>
      <c r="N378" s="283">
        <v>44397</v>
      </c>
      <c r="O378" s="283">
        <v>44397</v>
      </c>
      <c r="P378" s="275" t="s">
        <v>12</v>
      </c>
      <c r="Q378" s="275" t="s">
        <v>2810</v>
      </c>
      <c r="V378" s="275"/>
      <c r="X378" s="275"/>
      <c r="Y378" s="275"/>
      <c r="Z378" s="276" t="e">
        <f>VLOOKUP(功能_33[[#This Row],[User]],SKL放款!A:G,7,FALSE)</f>
        <v>#N/A</v>
      </c>
      <c r="AA378" s="283">
        <v>44533</v>
      </c>
      <c r="AB378" s="283" t="s">
        <v>181</v>
      </c>
      <c r="AC378" s="283"/>
      <c r="AD378" s="283">
        <v>44397</v>
      </c>
      <c r="AE378" s="283">
        <v>44544</v>
      </c>
      <c r="AF378" s="283"/>
      <c r="AG378" s="283"/>
      <c r="AH378" s="334"/>
      <c r="AI378" s="283">
        <f>IFERROR(IF(VLOOKUP(功能_33[[#This Row],[功能代號]],E:S,11,FALSE)=0,"",VLOOKUP(功能_33[[#This Row],[功能代號]],E:S,11,FALSE)),"")</f>
        <v>44397</v>
      </c>
      <c r="AJ378" s="283"/>
      <c r="AK378" s="283"/>
      <c r="AL378" s="276"/>
      <c r="AM378" s="283">
        <v>44397</v>
      </c>
      <c r="AN378" s="275" t="s">
        <v>2623</v>
      </c>
      <c r="AQ378" s="507" t="str">
        <f t="shared" si="42"/>
        <v>6-5</v>
      </c>
      <c r="AR378" s="509" t="str">
        <f t="shared" si="43"/>
        <v/>
      </c>
      <c r="AS378" s="511" t="str">
        <f t="shared" si="44"/>
        <v/>
      </c>
      <c r="AT378" s="513" t="str">
        <f t="shared" si="45"/>
        <v/>
      </c>
      <c r="AU378" s="515" t="str">
        <f t="shared" si="46"/>
        <v/>
      </c>
      <c r="AV378" s="517" t="str">
        <f t="shared" si="47"/>
        <v/>
      </c>
      <c r="AW378" s="589" t="str">
        <f>IFERROR(VLOOKUP(功能_33[[#This Row],[功能代號]],SIT_FT!D:D,1,FALSE),"")</f>
        <v>L650D</v>
      </c>
    </row>
    <row r="379" spans="3:49" ht="13.5" hidden="1" x14ac:dyDescent="0.3">
      <c r="C379" s="276" t="s">
        <v>81</v>
      </c>
      <c r="D379" s="431" t="s">
        <v>2469</v>
      </c>
      <c r="E379" s="275" t="s">
        <v>1051</v>
      </c>
      <c r="F379" s="258" t="s">
        <v>1052</v>
      </c>
      <c r="G379" s="276"/>
      <c r="H379" s="275" t="s">
        <v>122</v>
      </c>
      <c r="I379" s="275" t="s">
        <v>122</v>
      </c>
      <c r="J379" s="282" t="s">
        <v>2968</v>
      </c>
      <c r="K379" s="283" t="s">
        <v>3011</v>
      </c>
      <c r="L379" s="283"/>
      <c r="M379" s="283">
        <v>44518</v>
      </c>
      <c r="N379" s="283">
        <v>44517</v>
      </c>
      <c r="O379" s="283">
        <v>44547</v>
      </c>
      <c r="P379" s="275" t="s">
        <v>12</v>
      </c>
      <c r="Q379" s="275" t="s">
        <v>13</v>
      </c>
      <c r="V379" s="275"/>
      <c r="X379" s="275"/>
      <c r="Y379" s="275"/>
      <c r="Z379" s="276" t="str">
        <f>VLOOKUP(功能_33[[#This Row],[User]],SKL放款!A:G,7,FALSE)</f>
        <v>放款推展課</v>
      </c>
      <c r="AA379" s="283">
        <v>44533</v>
      </c>
      <c r="AB379" s="283">
        <v>44533</v>
      </c>
      <c r="AC379" s="283">
        <v>44533</v>
      </c>
      <c r="AD379" s="283">
        <v>44533</v>
      </c>
      <c r="AE379" s="283">
        <v>44550</v>
      </c>
      <c r="AF379" s="283"/>
      <c r="AG379" s="283"/>
      <c r="AH379" s="334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76"/>
      <c r="AM379" s="283"/>
      <c r="AN379" s="275" t="s">
        <v>2623</v>
      </c>
      <c r="AQ379" s="507" t="str">
        <f t="shared" si="42"/>
        <v>5-3</v>
      </c>
      <c r="AR379" s="509" t="str">
        <f t="shared" si="43"/>
        <v/>
      </c>
      <c r="AS379" s="511" t="str">
        <f t="shared" si="44"/>
        <v/>
      </c>
      <c r="AT379" s="513" t="str">
        <f t="shared" si="45"/>
        <v/>
      </c>
      <c r="AU379" s="515" t="str">
        <f t="shared" si="46"/>
        <v/>
      </c>
      <c r="AV379" s="517" t="str">
        <f t="shared" si="47"/>
        <v/>
      </c>
      <c r="AW379" s="589" t="str">
        <f>IFERROR(VLOOKUP(功能_33[[#This Row],[功能代號]],SIT_FT!D:D,1,FALSE),"")</f>
        <v/>
      </c>
    </row>
    <row r="380" spans="3:49" ht="13.5" hidden="1" x14ac:dyDescent="0.3">
      <c r="C380" s="276" t="s">
        <v>81</v>
      </c>
      <c r="D380" s="431" t="s">
        <v>2469</v>
      </c>
      <c r="E380" s="275" t="s">
        <v>1053</v>
      </c>
      <c r="F380" s="258" t="s">
        <v>1054</v>
      </c>
      <c r="G380" s="276"/>
      <c r="H380" s="275" t="s">
        <v>122</v>
      </c>
      <c r="I380" s="275" t="s">
        <v>122</v>
      </c>
      <c r="J380" s="282" t="s">
        <v>2881</v>
      </c>
      <c r="K380" s="283" t="s">
        <v>3011</v>
      </c>
      <c r="L380" s="283"/>
      <c r="M380" s="283">
        <v>44518</v>
      </c>
      <c r="N380" s="283">
        <v>44517</v>
      </c>
      <c r="O380" s="283">
        <v>44547</v>
      </c>
      <c r="P380" s="275" t="s">
        <v>12</v>
      </c>
      <c r="Q380" s="275" t="s">
        <v>13</v>
      </c>
      <c r="V380" s="275"/>
      <c r="X380" s="275"/>
      <c r="Y380" s="275"/>
      <c r="Z380" s="276" t="str">
        <f>VLOOKUP(功能_33[[#This Row],[User]],SKL放款!A:G,7,FALSE)</f>
        <v>放款推展課</v>
      </c>
      <c r="AA380" s="283">
        <v>44533</v>
      </c>
      <c r="AB380" s="283">
        <v>44533</v>
      </c>
      <c r="AC380" s="283">
        <v>44533</v>
      </c>
      <c r="AD380" s="283">
        <v>44533</v>
      </c>
      <c r="AE380" s="283">
        <v>44550</v>
      </c>
      <c r="AF380" s="283"/>
      <c r="AG380" s="283"/>
      <c r="AH380" s="334"/>
      <c r="AI380" s="283">
        <f>IFERROR(IF(VLOOKUP(功能_33[[#This Row],[功能代號]],E:S,11,FALSE)=0,"",VLOOKUP(功能_33[[#This Row],[功能代號]],E:S,11,FALSE)),"")</f>
        <v>44547</v>
      </c>
      <c r="AJ380" s="283"/>
      <c r="AK380" s="283"/>
      <c r="AL380" s="276"/>
      <c r="AM380" s="283"/>
      <c r="AN380" s="275" t="s">
        <v>2820</v>
      </c>
      <c r="AO380" s="276" t="s">
        <v>2753</v>
      </c>
      <c r="AQ380" s="507" t="str">
        <f t="shared" si="42"/>
        <v>5-3</v>
      </c>
      <c r="AR380" s="509" t="str">
        <f t="shared" si="43"/>
        <v/>
      </c>
      <c r="AS380" s="511" t="str">
        <f t="shared" si="44"/>
        <v/>
      </c>
      <c r="AT380" s="513" t="str">
        <f t="shared" si="45"/>
        <v/>
      </c>
      <c r="AU380" s="515" t="str">
        <f t="shared" si="46"/>
        <v/>
      </c>
      <c r="AV380" s="517" t="str">
        <f t="shared" si="47"/>
        <v/>
      </c>
      <c r="AW380" s="589" t="str">
        <f>IFERROR(VLOOKUP(功能_33[[#This Row],[功能代號]],SIT_FT!D:D,1,FALSE),"")</f>
        <v/>
      </c>
    </row>
    <row r="381" spans="3:49" ht="13.5" hidden="1" x14ac:dyDescent="0.3">
      <c r="C381" s="276" t="s">
        <v>81</v>
      </c>
      <c r="D381" s="432" t="s">
        <v>2469</v>
      </c>
      <c r="E381" s="275" t="s">
        <v>1055</v>
      </c>
      <c r="F381" s="258" t="s">
        <v>1056</v>
      </c>
      <c r="G381" s="267" t="s">
        <v>1057</v>
      </c>
      <c r="H381" s="275" t="s">
        <v>122</v>
      </c>
      <c r="I381" s="275" t="s">
        <v>122</v>
      </c>
      <c r="J381" s="282" t="s">
        <v>2881</v>
      </c>
      <c r="K381" s="283" t="s">
        <v>3011</v>
      </c>
      <c r="L381" s="283"/>
      <c r="M381" s="283">
        <v>44518</v>
      </c>
      <c r="N381" s="283">
        <v>44517</v>
      </c>
      <c r="O381" s="283">
        <v>44547</v>
      </c>
      <c r="P381" s="275" t="s">
        <v>12</v>
      </c>
      <c r="Q381" s="275" t="s">
        <v>13</v>
      </c>
      <c r="V381" s="275"/>
      <c r="X381" s="275"/>
      <c r="Y381" s="275"/>
      <c r="Z381" s="276" t="str">
        <f>VLOOKUP(功能_33[[#This Row],[User]],SKL放款!A:G,7,FALSE)</f>
        <v>放款推展課</v>
      </c>
      <c r="AA381" s="283">
        <v>44533</v>
      </c>
      <c r="AB381" s="283" t="s">
        <v>181</v>
      </c>
      <c r="AC381" s="283"/>
      <c r="AD381" s="283">
        <v>44533</v>
      </c>
      <c r="AE381" s="283">
        <v>44550</v>
      </c>
      <c r="AF381" s="269"/>
      <c r="AG381" s="269"/>
      <c r="AH381" s="269"/>
      <c r="AI381" s="269">
        <f>IFERROR(IF(VLOOKUP(功能_33[[#This Row],[功能代號]],E:S,11,FALSE)=0,"",VLOOKUP(功能_33[[#This Row],[功能代號]],E:S,11,FALSE)),"")</f>
        <v>44547</v>
      </c>
      <c r="AJ381" s="269"/>
      <c r="AK381" s="269"/>
      <c r="AL381" s="276"/>
      <c r="AN381" s="275" t="s">
        <v>2816</v>
      </c>
      <c r="AO381" s="276" t="s">
        <v>2817</v>
      </c>
      <c r="AQ381" s="507" t="str">
        <f t="shared" si="42"/>
        <v>5-3</v>
      </c>
      <c r="AR381" s="509" t="str">
        <f t="shared" si="43"/>
        <v/>
      </c>
      <c r="AS381" s="511" t="str">
        <f t="shared" si="44"/>
        <v/>
      </c>
      <c r="AT381" s="513" t="str">
        <f t="shared" si="45"/>
        <v/>
      </c>
      <c r="AU381" s="515" t="str">
        <f t="shared" si="46"/>
        <v/>
      </c>
      <c r="AV381" s="517" t="str">
        <f t="shared" si="47"/>
        <v/>
      </c>
      <c r="AW381" s="589" t="str">
        <f>IFERROR(VLOOKUP(功能_33[[#This Row],[功能代號]],SIT_FT!D:D,1,FALSE),"")</f>
        <v/>
      </c>
    </row>
    <row r="382" spans="3:49" ht="13.5" hidden="1" x14ac:dyDescent="0.3">
      <c r="C382" s="276" t="s">
        <v>81</v>
      </c>
      <c r="D382" s="431" t="s">
        <v>2469</v>
      </c>
      <c r="E382" s="275" t="s">
        <v>1058</v>
      </c>
      <c r="F382" s="258" t="s">
        <v>1059</v>
      </c>
      <c r="G382" s="276"/>
      <c r="H382" s="275" t="s">
        <v>122</v>
      </c>
      <c r="I382" s="275" t="s">
        <v>122</v>
      </c>
      <c r="J382" s="282" t="s">
        <v>2968</v>
      </c>
      <c r="K382" s="283" t="s">
        <v>3011</v>
      </c>
      <c r="L382" s="283"/>
      <c r="M382" s="283">
        <v>44518</v>
      </c>
      <c r="N382" s="283">
        <v>44517</v>
      </c>
      <c r="O382" s="283">
        <v>44547</v>
      </c>
      <c r="P382" s="275" t="s">
        <v>12</v>
      </c>
      <c r="Q382" s="275" t="s">
        <v>13</v>
      </c>
      <c r="V382" s="275"/>
      <c r="X382" s="275"/>
      <c r="Y382" s="275"/>
      <c r="Z382" s="276" t="str">
        <f>VLOOKUP(功能_33[[#This Row],[User]],SKL放款!A:G,7,FALSE)</f>
        <v>放款推展課</v>
      </c>
      <c r="AA382" s="283">
        <v>44546</v>
      </c>
      <c r="AB382" s="283">
        <v>44533</v>
      </c>
      <c r="AC382" s="283">
        <v>44533</v>
      </c>
      <c r="AD382" s="283">
        <v>44533</v>
      </c>
      <c r="AE382" s="283">
        <v>44550</v>
      </c>
      <c r="AF382" s="283"/>
      <c r="AG382" s="283"/>
      <c r="AH382" s="334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76"/>
      <c r="AM382" s="283"/>
      <c r="AN382" s="275" t="s">
        <v>2623</v>
      </c>
      <c r="AQ382" s="507" t="str">
        <f t="shared" si="42"/>
        <v>5-3</v>
      </c>
      <c r="AR382" s="509" t="str">
        <f t="shared" si="43"/>
        <v/>
      </c>
      <c r="AS382" s="511" t="str">
        <f t="shared" si="44"/>
        <v/>
      </c>
      <c r="AT382" s="513" t="str">
        <f t="shared" si="45"/>
        <v/>
      </c>
      <c r="AU382" s="515" t="str">
        <f t="shared" si="46"/>
        <v/>
      </c>
      <c r="AV382" s="517" t="str">
        <f t="shared" si="47"/>
        <v/>
      </c>
      <c r="AW382" s="589" t="str">
        <f>IFERROR(VLOOKUP(功能_33[[#This Row],[功能代號]],SIT_FT!D:D,1,FALSE),"")</f>
        <v>L5052</v>
      </c>
    </row>
    <row r="383" spans="3:49" ht="13.5" hidden="1" x14ac:dyDescent="0.3">
      <c r="C383" s="276" t="s">
        <v>81</v>
      </c>
      <c r="D383" s="431" t="s">
        <v>2469</v>
      </c>
      <c r="E383" s="275" t="s">
        <v>1060</v>
      </c>
      <c r="F383" s="258" t="s">
        <v>1061</v>
      </c>
      <c r="G383" s="276"/>
      <c r="H383" s="275" t="s">
        <v>122</v>
      </c>
      <c r="I383" s="275" t="s">
        <v>122</v>
      </c>
      <c r="J383" s="282" t="s">
        <v>2881</v>
      </c>
      <c r="K383" s="283" t="s">
        <v>3011</v>
      </c>
      <c r="L383" s="283"/>
      <c r="M383" s="283">
        <v>44518</v>
      </c>
      <c r="N383" s="283">
        <v>44517</v>
      </c>
      <c r="O383" s="283">
        <v>44547</v>
      </c>
      <c r="P383" s="275" t="s">
        <v>12</v>
      </c>
      <c r="Q383" s="275" t="s">
        <v>13</v>
      </c>
      <c r="V383" s="275"/>
      <c r="X383" s="275"/>
      <c r="Y383" s="275"/>
      <c r="Z383" s="276" t="str">
        <f>VLOOKUP(功能_33[[#This Row],[User]],SKL放款!A:G,7,FALSE)</f>
        <v>放款推展課</v>
      </c>
      <c r="AA383" s="283" t="s">
        <v>2865</v>
      </c>
      <c r="AB383" s="283">
        <v>44533</v>
      </c>
      <c r="AC383" s="283">
        <v>44533</v>
      </c>
      <c r="AD383" s="283">
        <v>44533</v>
      </c>
      <c r="AE383" s="283">
        <v>44550</v>
      </c>
      <c r="AF383" s="283"/>
      <c r="AG383" s="283"/>
      <c r="AH383" s="334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76"/>
      <c r="AM383" s="283"/>
      <c r="AN383" s="275" t="s">
        <v>2818</v>
      </c>
      <c r="AO383" s="258" t="s">
        <v>1061</v>
      </c>
      <c r="AQ383" s="507" t="str">
        <f t="shared" si="42"/>
        <v>5-3</v>
      </c>
      <c r="AR383" s="509" t="str">
        <f t="shared" si="43"/>
        <v/>
      </c>
      <c r="AS383" s="511" t="str">
        <f t="shared" si="44"/>
        <v/>
      </c>
      <c r="AT383" s="513" t="str">
        <f t="shared" si="45"/>
        <v/>
      </c>
      <c r="AU383" s="515" t="str">
        <f t="shared" si="46"/>
        <v/>
      </c>
      <c r="AV383" s="517" t="str">
        <f t="shared" si="47"/>
        <v/>
      </c>
      <c r="AW383" s="589" t="str">
        <f>IFERROR(VLOOKUP(功能_33[[#This Row],[功能代號]],SIT_FT!D:D,1,FALSE),"")</f>
        <v>L5502</v>
      </c>
    </row>
    <row r="384" spans="3:49" ht="13.5" hidden="1" x14ac:dyDescent="0.3">
      <c r="C384" s="276" t="s">
        <v>81</v>
      </c>
      <c r="D384" s="432" t="s">
        <v>2469</v>
      </c>
      <c r="E384" s="275" t="s">
        <v>1062</v>
      </c>
      <c r="F384" s="258" t="s">
        <v>1063</v>
      </c>
      <c r="G384" s="267" t="s">
        <v>1057</v>
      </c>
      <c r="H384" s="275" t="s">
        <v>122</v>
      </c>
      <c r="I384" s="275" t="s">
        <v>122</v>
      </c>
      <c r="J384" s="282" t="s">
        <v>2881</v>
      </c>
      <c r="K384" s="283" t="s">
        <v>3011</v>
      </c>
      <c r="L384" s="283"/>
      <c r="M384" s="283">
        <v>44518</v>
      </c>
      <c r="N384" s="283">
        <v>44518</v>
      </c>
      <c r="O384" s="283">
        <v>44547</v>
      </c>
      <c r="P384" s="275" t="s">
        <v>12</v>
      </c>
      <c r="Q384" s="275" t="s">
        <v>13</v>
      </c>
      <c r="V384" s="275"/>
      <c r="X384" s="275"/>
      <c r="Y384" s="275"/>
      <c r="Z384" s="276" t="str">
        <f>VLOOKUP(功能_33[[#This Row],[User]],SKL放款!A:G,7,FALSE)</f>
        <v>放款推展課</v>
      </c>
      <c r="AA384" s="283">
        <v>44533</v>
      </c>
      <c r="AB384" s="283" t="s">
        <v>181</v>
      </c>
      <c r="AC384" s="283"/>
      <c r="AD384" s="283">
        <v>44533</v>
      </c>
      <c r="AE384" s="283">
        <v>44550</v>
      </c>
      <c r="AF384" s="269"/>
      <c r="AG384" s="269"/>
      <c r="AH384" s="269"/>
      <c r="AI384" s="269">
        <f>IFERROR(IF(VLOOKUP(功能_33[[#This Row],[功能代號]],E:S,11,FALSE)=0,"",VLOOKUP(功能_33[[#This Row],[功能代號]],E:S,11,FALSE)),"")</f>
        <v>44547</v>
      </c>
      <c r="AJ384" s="269"/>
      <c r="AK384" s="269"/>
      <c r="AL384" s="276"/>
      <c r="AN384" s="275" t="s">
        <v>2623</v>
      </c>
      <c r="AO384" s="258"/>
      <c r="AQ384" s="507" t="str">
        <f t="shared" si="42"/>
        <v>5-3</v>
      </c>
      <c r="AR384" s="509" t="str">
        <f t="shared" si="43"/>
        <v/>
      </c>
      <c r="AS384" s="511" t="str">
        <f t="shared" si="44"/>
        <v/>
      </c>
      <c r="AT384" s="513" t="str">
        <f t="shared" si="45"/>
        <v/>
      </c>
      <c r="AU384" s="515" t="str">
        <f t="shared" si="46"/>
        <v/>
      </c>
      <c r="AV384" s="517" t="str">
        <f t="shared" si="47"/>
        <v/>
      </c>
      <c r="AW384" s="589" t="str">
        <f>IFERROR(VLOOKUP(功能_33[[#This Row],[功能代號]],SIT_FT!D:D,1,FALSE),"")</f>
        <v/>
      </c>
    </row>
    <row r="385" spans="1:49" ht="13.5" hidden="1" x14ac:dyDescent="0.3">
      <c r="C385" s="276" t="s">
        <v>81</v>
      </c>
      <c r="D385" s="432" t="s">
        <v>2469</v>
      </c>
      <c r="E385" s="275" t="s">
        <v>1064</v>
      </c>
      <c r="F385" s="258" t="s">
        <v>1065</v>
      </c>
      <c r="G385" s="267" t="s">
        <v>1057</v>
      </c>
      <c r="H385" s="275" t="s">
        <v>122</v>
      </c>
      <c r="I385" s="275" t="s">
        <v>122</v>
      </c>
      <c r="J385" s="282" t="s">
        <v>2881</v>
      </c>
      <c r="K385" s="283" t="s">
        <v>3011</v>
      </c>
      <c r="L385" s="283"/>
      <c r="M385" s="283">
        <v>44518</v>
      </c>
      <c r="N385" s="283">
        <v>44518</v>
      </c>
      <c r="O385" s="283">
        <v>44547</v>
      </c>
      <c r="P385" s="275" t="s">
        <v>12</v>
      </c>
      <c r="Q385" s="275" t="s">
        <v>13</v>
      </c>
      <c r="V385" s="275"/>
      <c r="X385" s="275"/>
      <c r="Y385" s="275"/>
      <c r="Z385" s="276" t="str">
        <f>VLOOKUP(功能_33[[#This Row],[User]],SKL放款!A:G,7,FALSE)</f>
        <v>放款推展課</v>
      </c>
      <c r="AA385" s="283">
        <v>44533</v>
      </c>
      <c r="AB385" s="283" t="s">
        <v>181</v>
      </c>
      <c r="AC385" s="283"/>
      <c r="AD385" s="283">
        <v>44533</v>
      </c>
      <c r="AE385" s="283">
        <v>44550</v>
      </c>
      <c r="AF385" s="269"/>
      <c r="AG385" s="269"/>
      <c r="AH385" s="269"/>
      <c r="AI385" s="269">
        <f>IFERROR(IF(VLOOKUP(功能_33[[#This Row],[功能代號]],E:S,11,FALSE)=0,"",VLOOKUP(功能_33[[#This Row],[功能代號]],E:S,11,FALSE)),"")</f>
        <v>44547</v>
      </c>
      <c r="AJ385" s="269"/>
      <c r="AK385" s="269"/>
      <c r="AL385" s="276"/>
      <c r="AN385" s="275" t="s">
        <v>2819</v>
      </c>
      <c r="AO385" s="258" t="s">
        <v>1065</v>
      </c>
      <c r="AQ385" s="507" t="str">
        <f t="shared" si="42"/>
        <v>5-3</v>
      </c>
      <c r="AR385" s="509" t="str">
        <f t="shared" si="43"/>
        <v/>
      </c>
      <c r="AS385" s="511" t="str">
        <f t="shared" si="44"/>
        <v/>
      </c>
      <c r="AT385" s="513" t="str">
        <f t="shared" si="45"/>
        <v/>
      </c>
      <c r="AU385" s="515" t="str">
        <f t="shared" si="46"/>
        <v/>
      </c>
      <c r="AV385" s="517" t="str">
        <f t="shared" si="47"/>
        <v/>
      </c>
      <c r="AW385" s="589" t="str">
        <f>IFERROR(VLOOKUP(功能_33[[#This Row],[功能代號]],SIT_FT!D:D,1,FALSE),"")</f>
        <v/>
      </c>
    </row>
    <row r="386" spans="1:49" ht="13.5" hidden="1" x14ac:dyDescent="0.3">
      <c r="C386" s="276" t="s">
        <v>81</v>
      </c>
      <c r="D386" s="431" t="s">
        <v>2712</v>
      </c>
      <c r="E386" s="275" t="s">
        <v>1066</v>
      </c>
      <c r="F386" s="258" t="s">
        <v>1067</v>
      </c>
      <c r="G386" s="276"/>
      <c r="H386" s="275" t="s">
        <v>122</v>
      </c>
      <c r="I386" s="275" t="s">
        <v>122</v>
      </c>
      <c r="J386" s="282" t="s">
        <v>2881</v>
      </c>
      <c r="K386" s="283" t="s">
        <v>3011</v>
      </c>
      <c r="L386" s="283"/>
      <c r="M386" s="283">
        <v>44517</v>
      </c>
      <c r="N386" s="283">
        <v>44518</v>
      </c>
      <c r="O386" s="283">
        <v>44547</v>
      </c>
      <c r="P386" s="275" t="s">
        <v>12</v>
      </c>
      <c r="Q386" s="258" t="s">
        <v>2810</v>
      </c>
      <c r="V386" s="275"/>
      <c r="X386" s="275"/>
      <c r="Y386" s="275"/>
      <c r="Z386" s="276" t="e">
        <f>VLOOKUP(功能_33[[#This Row],[User]],SKL放款!A:G,7,FALSE)</f>
        <v>#N/A</v>
      </c>
      <c r="AA386" s="283">
        <v>44546</v>
      </c>
      <c r="AB386" s="283" t="s">
        <v>119</v>
      </c>
      <c r="AC386" s="268">
        <v>44550</v>
      </c>
      <c r="AD386" s="283">
        <v>44550</v>
      </c>
      <c r="AE386" s="283">
        <v>44550</v>
      </c>
      <c r="AF386" s="283"/>
      <c r="AG386" s="283"/>
      <c r="AH386" s="334"/>
      <c r="AI386" s="283">
        <f>IFERROR(IF(VLOOKUP(功能_33[[#This Row],[功能代號]],E:S,11,FALSE)=0,"",VLOOKUP(功能_33[[#This Row],[功能代號]],E:S,11,FALSE)),"")</f>
        <v>44547</v>
      </c>
      <c r="AJ386" s="283"/>
      <c r="AK386" s="283"/>
      <c r="AL386" s="276"/>
      <c r="AM386" s="283">
        <v>44398</v>
      </c>
      <c r="AN386" s="275" t="s">
        <v>2623</v>
      </c>
      <c r="AQ386" s="507" t="str">
        <f t="shared" ref="AQ386:AQ417" si="48">IF(COUNTA(AE386)=1,LEFT(D386,3),"")</f>
        <v>5-3</v>
      </c>
      <c r="AR386" s="509" t="str">
        <f t="shared" ref="AR386:AR417" si="49">IF(AND(COUNTA(N386)=1,COUNTA(O386)=1,COUNTA(AA386)=1,COUNTA(AD386)=1,COUNTA(AE386)=0),LEFT(D386,3),"")</f>
        <v/>
      </c>
      <c r="AS386" s="511" t="str">
        <f t="shared" ref="AS386:AS417" si="50">IF(AND(COUNTA(N386)=1,COUNTA(O386)=1,COUNTA(AA386)=1,COUNTA(AD386)=0,COUNTA(AE386)=0),LEFT(D386,3),"")</f>
        <v/>
      </c>
      <c r="AT386" s="513" t="str">
        <f t="shared" ref="AT386:AT417" si="51">IF(AND(COUNTA(O386)=0,COUNTA(AA386)=1),LEFT(D386,3),"")</f>
        <v/>
      </c>
      <c r="AU386" s="515" t="str">
        <f t="shared" ref="AU386:AU417" si="52">IF(AND(COUNTA(O386)=1,COUNTA(AA386)=0),LEFT(D386,3),"")</f>
        <v/>
      </c>
      <c r="AV386" s="517" t="str">
        <f t="shared" ref="AV386:AV417" si="53">IF(AND(COUNTA(O386)=0,COUNTA(AA386)=0),LEFT(D386,3),"")</f>
        <v/>
      </c>
      <c r="AW386" s="589" t="str">
        <f>IFERROR(VLOOKUP(功能_33[[#This Row],[功能代號]],SIT_FT!D:D,1,FALSE),"")</f>
        <v/>
      </c>
    </row>
    <row r="387" spans="1:49" ht="13.5" hidden="1" x14ac:dyDescent="0.3">
      <c r="C387" s="276" t="s">
        <v>81</v>
      </c>
      <c r="D387" s="431" t="s">
        <v>2469</v>
      </c>
      <c r="E387" s="275" t="s">
        <v>1068</v>
      </c>
      <c r="F387" s="258" t="s">
        <v>1069</v>
      </c>
      <c r="G387" s="276"/>
      <c r="H387" s="275" t="s">
        <v>122</v>
      </c>
      <c r="I387" s="275" t="s">
        <v>122</v>
      </c>
      <c r="J387" s="282" t="s">
        <v>2881</v>
      </c>
      <c r="K387" s="283" t="s">
        <v>3011</v>
      </c>
      <c r="L387" s="283"/>
      <c r="M387" s="283">
        <v>44518</v>
      </c>
      <c r="N387" s="283">
        <v>44518</v>
      </c>
      <c r="O387" s="283">
        <v>44547</v>
      </c>
      <c r="P387" s="275" t="s">
        <v>12</v>
      </c>
      <c r="Q387" s="275" t="s">
        <v>2810</v>
      </c>
      <c r="V387" s="275"/>
      <c r="X387" s="275"/>
      <c r="Y387" s="275"/>
      <c r="Z387" s="276" t="e">
        <f>VLOOKUP(功能_33[[#This Row],[User]],SKL放款!A:G,7,FALSE)</f>
        <v>#N/A</v>
      </c>
      <c r="AA387" s="283">
        <v>44533</v>
      </c>
      <c r="AB387" s="283" t="s">
        <v>181</v>
      </c>
      <c r="AC387" s="268">
        <v>44550</v>
      </c>
      <c r="AD387" s="283">
        <v>44550</v>
      </c>
      <c r="AE387" s="283">
        <v>44550</v>
      </c>
      <c r="AF387" s="283"/>
      <c r="AG387" s="283"/>
      <c r="AH387" s="334"/>
      <c r="AI387" s="283">
        <f>IFERROR(IF(VLOOKUP(功能_33[[#This Row],[功能代號]],E:S,11,FALSE)=0,"",VLOOKUP(功能_33[[#This Row],[功能代號]],E:S,11,FALSE)),"")</f>
        <v>44547</v>
      </c>
      <c r="AJ387" s="283"/>
      <c r="AK387" s="283"/>
      <c r="AL387" s="276"/>
      <c r="AM387" s="283"/>
      <c r="AN387" s="275" t="s">
        <v>2623</v>
      </c>
      <c r="AQ387" s="507" t="str">
        <f t="shared" si="48"/>
        <v>5-3</v>
      </c>
      <c r="AR387" s="509" t="str">
        <f t="shared" si="49"/>
        <v/>
      </c>
      <c r="AS387" s="511" t="str">
        <f t="shared" si="50"/>
        <v/>
      </c>
      <c r="AT387" s="513" t="str">
        <f t="shared" si="51"/>
        <v/>
      </c>
      <c r="AU387" s="515" t="str">
        <f t="shared" si="52"/>
        <v/>
      </c>
      <c r="AV387" s="517" t="str">
        <f t="shared" si="53"/>
        <v/>
      </c>
      <c r="AW387" s="589" t="str">
        <f>IFERROR(VLOOKUP(功能_33[[#This Row],[功能代號]],SIT_FT!D:D,1,FALSE),"")</f>
        <v/>
      </c>
    </row>
    <row r="388" spans="1:49" ht="13.5" hidden="1" x14ac:dyDescent="0.3">
      <c r="C388" s="276" t="s">
        <v>81</v>
      </c>
      <c r="D388" s="431" t="s">
        <v>2469</v>
      </c>
      <c r="E388" s="275" t="s">
        <v>1070</v>
      </c>
      <c r="F388" s="258" t="s">
        <v>2815</v>
      </c>
      <c r="G388" s="276"/>
      <c r="H388" s="275" t="s">
        <v>122</v>
      </c>
      <c r="I388" s="275" t="s">
        <v>122</v>
      </c>
      <c r="J388" s="282" t="s">
        <v>2881</v>
      </c>
      <c r="K388" s="283" t="s">
        <v>3011</v>
      </c>
      <c r="L388" s="283"/>
      <c r="M388" s="283">
        <v>44523</v>
      </c>
      <c r="N388" s="283">
        <v>44524</v>
      </c>
      <c r="O388" s="283">
        <v>44547</v>
      </c>
      <c r="P388" s="275" t="s">
        <v>12</v>
      </c>
      <c r="Q388" s="275" t="s">
        <v>18</v>
      </c>
      <c r="V388" s="275"/>
      <c r="X388" s="275"/>
      <c r="Y388" s="275"/>
      <c r="Z388" s="276" t="str">
        <f>VLOOKUP(功能_33[[#This Row],[User]],SKL放款!A:G,7,FALSE)</f>
        <v>放款服務課</v>
      </c>
      <c r="AA388" s="283">
        <v>44533</v>
      </c>
      <c r="AB388" s="283" t="s">
        <v>119</v>
      </c>
      <c r="AC388" s="268">
        <v>44550</v>
      </c>
      <c r="AD388" s="283">
        <v>44550</v>
      </c>
      <c r="AE388" s="283">
        <v>44550</v>
      </c>
      <c r="AF388" s="283"/>
      <c r="AG388" s="283"/>
      <c r="AH388" s="334"/>
      <c r="AI388" s="283">
        <f>IFERROR(IF(VLOOKUP(功能_33[[#This Row],[功能代號]],E:S,11,FALSE)=0,"",VLOOKUP(功能_33[[#This Row],[功能代號]],E:S,11,FALSE)),"")</f>
        <v>44547</v>
      </c>
      <c r="AJ388" s="283"/>
      <c r="AK388" s="283"/>
      <c r="AL388" s="276"/>
      <c r="AM388" s="283"/>
      <c r="AN388" s="275" t="s">
        <v>2623</v>
      </c>
      <c r="AQ388" s="507" t="str">
        <f t="shared" si="48"/>
        <v>5-3</v>
      </c>
      <c r="AR388" s="509" t="str">
        <f t="shared" si="49"/>
        <v/>
      </c>
      <c r="AS388" s="511" t="str">
        <f t="shared" si="50"/>
        <v/>
      </c>
      <c r="AT388" s="513" t="str">
        <f t="shared" si="51"/>
        <v/>
      </c>
      <c r="AU388" s="515" t="str">
        <f t="shared" si="52"/>
        <v/>
      </c>
      <c r="AV388" s="517" t="str">
        <f t="shared" si="53"/>
        <v/>
      </c>
      <c r="AW388" s="589" t="str">
        <f>IFERROR(VLOOKUP(功能_33[[#This Row],[功能代號]],SIT_FT!D:D,1,FALSE),"")</f>
        <v/>
      </c>
    </row>
    <row r="389" spans="1:49" ht="13.5" hidden="1" x14ac:dyDescent="0.3">
      <c r="C389" s="276" t="s">
        <v>81</v>
      </c>
      <c r="D389" s="431" t="s">
        <v>2469</v>
      </c>
      <c r="E389" s="275" t="s">
        <v>1071</v>
      </c>
      <c r="F389" s="258" t="s">
        <v>1072</v>
      </c>
      <c r="G389" s="276"/>
      <c r="H389" s="275" t="s">
        <v>122</v>
      </c>
      <c r="I389" s="275" t="s">
        <v>122</v>
      </c>
      <c r="J389" s="282" t="s">
        <v>2881</v>
      </c>
      <c r="K389" s="283" t="s">
        <v>3011</v>
      </c>
      <c r="L389" s="283"/>
      <c r="M389" s="283">
        <v>44523</v>
      </c>
      <c r="N389" s="283">
        <v>44524</v>
      </c>
      <c r="O389" s="283">
        <v>44547</v>
      </c>
      <c r="P389" s="275" t="s">
        <v>12</v>
      </c>
      <c r="Q389" s="275" t="s">
        <v>18</v>
      </c>
      <c r="V389" s="275"/>
      <c r="X389" s="275"/>
      <c r="Y389" s="275"/>
      <c r="Z389" s="276" t="str">
        <f>VLOOKUP(功能_33[[#This Row],[User]],SKL放款!A:G,7,FALSE)</f>
        <v>放款服務課</v>
      </c>
      <c r="AA389" s="283">
        <v>44533</v>
      </c>
      <c r="AB389" s="283" t="s">
        <v>119</v>
      </c>
      <c r="AC389" s="268">
        <v>44550</v>
      </c>
      <c r="AD389" s="283">
        <v>44550</v>
      </c>
      <c r="AE389" s="283">
        <v>44550</v>
      </c>
      <c r="AF389" s="283"/>
      <c r="AG389" s="283"/>
      <c r="AH389" s="334"/>
      <c r="AI389" s="283">
        <f>IFERROR(IF(VLOOKUP(功能_33[[#This Row],[功能代號]],E:S,11,FALSE)=0,"",VLOOKUP(功能_33[[#This Row],[功能代號]],E:S,11,FALSE)),"")</f>
        <v>44547</v>
      </c>
      <c r="AJ389" s="283"/>
      <c r="AK389" s="283"/>
      <c r="AL389" s="276"/>
      <c r="AM389" s="283"/>
      <c r="AN389" s="275" t="s">
        <v>2623</v>
      </c>
      <c r="AQ389" s="507" t="str">
        <f t="shared" si="48"/>
        <v>5-3</v>
      </c>
      <c r="AR389" s="509" t="str">
        <f t="shared" si="49"/>
        <v/>
      </c>
      <c r="AS389" s="511" t="str">
        <f t="shared" si="50"/>
        <v/>
      </c>
      <c r="AT389" s="513" t="str">
        <f t="shared" si="51"/>
        <v/>
      </c>
      <c r="AU389" s="515" t="str">
        <f t="shared" si="52"/>
        <v/>
      </c>
      <c r="AV389" s="517" t="str">
        <f t="shared" si="53"/>
        <v/>
      </c>
      <c r="AW389" s="589" t="str">
        <f>IFERROR(VLOOKUP(功能_33[[#This Row],[功能代號]],SIT_FT!D:D,1,FALSE),"")</f>
        <v/>
      </c>
    </row>
    <row r="390" spans="1:49" ht="13.5" hidden="1" x14ac:dyDescent="0.3">
      <c r="C390" s="276" t="s">
        <v>81</v>
      </c>
      <c r="D390" s="431" t="s">
        <v>2469</v>
      </c>
      <c r="E390" s="275" t="s">
        <v>1073</v>
      </c>
      <c r="F390" s="258" t="s">
        <v>1074</v>
      </c>
      <c r="G390" s="276"/>
      <c r="H390" s="275" t="s">
        <v>122</v>
      </c>
      <c r="I390" s="275" t="s">
        <v>122</v>
      </c>
      <c r="J390" s="282" t="s">
        <v>2881</v>
      </c>
      <c r="K390" s="283" t="s">
        <v>3011</v>
      </c>
      <c r="L390" s="283"/>
      <c r="M390" s="283">
        <v>44523</v>
      </c>
      <c r="N390" s="283">
        <v>44524</v>
      </c>
      <c r="O390" s="283">
        <v>44547</v>
      </c>
      <c r="P390" s="275" t="s">
        <v>12</v>
      </c>
      <c r="Q390" s="275" t="s">
        <v>18</v>
      </c>
      <c r="V390" s="275"/>
      <c r="X390" s="275"/>
      <c r="Y390" s="275"/>
      <c r="Z390" s="276" t="str">
        <f>VLOOKUP(功能_33[[#This Row],[User]],SKL放款!A:G,7,FALSE)</f>
        <v>放款服務課</v>
      </c>
      <c r="AA390" s="283">
        <v>44533</v>
      </c>
      <c r="AB390" s="283" t="s">
        <v>119</v>
      </c>
      <c r="AC390" s="268">
        <v>44550</v>
      </c>
      <c r="AD390" s="283">
        <v>44550</v>
      </c>
      <c r="AE390" s="283">
        <v>44550</v>
      </c>
      <c r="AF390" s="283"/>
      <c r="AG390" s="283"/>
      <c r="AH390" s="334"/>
      <c r="AI390" s="283">
        <f>IFERROR(IF(VLOOKUP(功能_33[[#This Row],[功能代號]],E:S,11,FALSE)=0,"",VLOOKUP(功能_33[[#This Row],[功能代號]],E:S,11,FALSE)),"")</f>
        <v>44547</v>
      </c>
      <c r="AJ390" s="283"/>
      <c r="AK390" s="283"/>
      <c r="AL390" s="276"/>
      <c r="AM390" s="283"/>
      <c r="AN390" s="275" t="s">
        <v>2623</v>
      </c>
      <c r="AQ390" s="507" t="str">
        <f t="shared" si="48"/>
        <v>5-3</v>
      </c>
      <c r="AR390" s="509" t="str">
        <f t="shared" si="49"/>
        <v/>
      </c>
      <c r="AS390" s="511" t="str">
        <f t="shared" si="50"/>
        <v/>
      </c>
      <c r="AT390" s="513" t="str">
        <f t="shared" si="51"/>
        <v/>
      </c>
      <c r="AU390" s="515" t="str">
        <f t="shared" si="52"/>
        <v/>
      </c>
      <c r="AV390" s="517" t="str">
        <f t="shared" si="53"/>
        <v/>
      </c>
      <c r="AW390" s="589" t="str">
        <f>IFERROR(VLOOKUP(功能_33[[#This Row],[功能代號]],SIT_FT!D:D,1,FALSE),"")</f>
        <v/>
      </c>
    </row>
    <row r="391" spans="1:49" ht="13.5" hidden="1" x14ac:dyDescent="0.3">
      <c r="C391" s="276" t="s">
        <v>81</v>
      </c>
      <c r="D391" s="431" t="s">
        <v>2469</v>
      </c>
      <c r="E391" s="275" t="s">
        <v>1075</v>
      </c>
      <c r="F391" s="258" t="s">
        <v>1076</v>
      </c>
      <c r="G391" s="276"/>
      <c r="H391" s="275" t="s">
        <v>122</v>
      </c>
      <c r="I391" s="275" t="s">
        <v>122</v>
      </c>
      <c r="J391" s="282" t="s">
        <v>2881</v>
      </c>
      <c r="K391" s="283" t="s">
        <v>3011</v>
      </c>
      <c r="L391" s="283"/>
      <c r="M391" s="283">
        <v>44519</v>
      </c>
      <c r="N391" s="283">
        <v>44518</v>
      </c>
      <c r="O391" s="283">
        <v>44547</v>
      </c>
      <c r="P391" s="275" t="s">
        <v>12</v>
      </c>
      <c r="Q391" s="275" t="s">
        <v>2810</v>
      </c>
      <c r="V391" s="275"/>
      <c r="X391" s="275"/>
      <c r="Y391" s="275"/>
      <c r="Z391" s="276" t="e">
        <f>VLOOKUP(功能_33[[#This Row],[User]],SKL放款!A:G,7,FALSE)</f>
        <v>#N/A</v>
      </c>
      <c r="AA391" s="283">
        <v>44533</v>
      </c>
      <c r="AB391" s="283" t="s">
        <v>181</v>
      </c>
      <c r="AC391" s="268">
        <v>44550</v>
      </c>
      <c r="AD391" s="283">
        <v>44550</v>
      </c>
      <c r="AE391" s="283">
        <v>44550</v>
      </c>
      <c r="AF391" s="283"/>
      <c r="AG391" s="283"/>
      <c r="AH391" s="334"/>
      <c r="AI391" s="283">
        <f>IFERROR(IF(VLOOKUP(功能_33[[#This Row],[功能代號]],E:S,11,FALSE)=0,"",VLOOKUP(功能_33[[#This Row],[功能代號]],E:S,11,FALSE)),"")</f>
        <v>44547</v>
      </c>
      <c r="AJ391" s="283"/>
      <c r="AK391" s="283"/>
      <c r="AL391" s="276"/>
      <c r="AM391" s="283"/>
      <c r="AN391" s="275" t="s">
        <v>2623</v>
      </c>
      <c r="AQ391" s="507" t="str">
        <f t="shared" si="48"/>
        <v>5-3</v>
      </c>
      <c r="AR391" s="509" t="str">
        <f t="shared" si="49"/>
        <v/>
      </c>
      <c r="AS391" s="511" t="str">
        <f t="shared" si="50"/>
        <v/>
      </c>
      <c r="AT391" s="513" t="str">
        <f t="shared" si="51"/>
        <v/>
      </c>
      <c r="AU391" s="515" t="str">
        <f t="shared" si="52"/>
        <v/>
      </c>
      <c r="AV391" s="517" t="str">
        <f t="shared" si="53"/>
        <v/>
      </c>
      <c r="AW391" s="589" t="str">
        <f>IFERROR(VLOOKUP(功能_33[[#This Row],[功能代號]],SIT_FT!D:D,1,FALSE),"")</f>
        <v/>
      </c>
    </row>
    <row r="392" spans="1:49" ht="13.5" hidden="1" x14ac:dyDescent="0.3">
      <c r="C392" s="276" t="s">
        <v>81</v>
      </c>
      <c r="D392" s="431" t="s">
        <v>2469</v>
      </c>
      <c r="E392" s="275" t="s">
        <v>1077</v>
      </c>
      <c r="F392" s="258" t="s">
        <v>1078</v>
      </c>
      <c r="G392" s="276"/>
      <c r="H392" s="275" t="s">
        <v>122</v>
      </c>
      <c r="I392" s="275" t="s">
        <v>122</v>
      </c>
      <c r="J392" s="282" t="s">
        <v>2881</v>
      </c>
      <c r="K392" s="283" t="s">
        <v>3011</v>
      </c>
      <c r="L392" s="283"/>
      <c r="M392" s="283">
        <v>44519</v>
      </c>
      <c r="N392" s="283">
        <v>44518</v>
      </c>
      <c r="O392" s="283">
        <v>44547</v>
      </c>
      <c r="P392" s="275" t="s">
        <v>12</v>
      </c>
      <c r="Q392" s="275" t="s">
        <v>2810</v>
      </c>
      <c r="V392" s="275"/>
      <c r="X392" s="275"/>
      <c r="Y392" s="275"/>
      <c r="Z392" s="276" t="e">
        <f>VLOOKUP(功能_33[[#This Row],[User]],SKL放款!A:G,7,FALSE)</f>
        <v>#N/A</v>
      </c>
      <c r="AA392" s="283">
        <v>44533</v>
      </c>
      <c r="AB392" s="283" t="s">
        <v>181</v>
      </c>
      <c r="AC392" s="268">
        <v>44550</v>
      </c>
      <c r="AD392" s="283">
        <v>44550</v>
      </c>
      <c r="AE392" s="283">
        <v>44550</v>
      </c>
      <c r="AF392" s="283"/>
      <c r="AG392" s="283"/>
      <c r="AH392" s="334"/>
      <c r="AI392" s="283">
        <f>IFERROR(IF(VLOOKUP(功能_33[[#This Row],[功能代號]],E:S,11,FALSE)=0,"",VLOOKUP(功能_33[[#This Row],[功能代號]],E:S,11,FALSE)),"")</f>
        <v>44547</v>
      </c>
      <c r="AJ392" s="283"/>
      <c r="AK392" s="283"/>
      <c r="AL392" s="276"/>
      <c r="AM392" s="283"/>
      <c r="AN392" s="275" t="s">
        <v>2623</v>
      </c>
      <c r="AQ392" s="507" t="str">
        <f t="shared" si="48"/>
        <v>5-3</v>
      </c>
      <c r="AR392" s="509" t="str">
        <f t="shared" si="49"/>
        <v/>
      </c>
      <c r="AS392" s="511" t="str">
        <f t="shared" si="50"/>
        <v/>
      </c>
      <c r="AT392" s="513" t="str">
        <f t="shared" si="51"/>
        <v/>
      </c>
      <c r="AU392" s="515" t="str">
        <f t="shared" si="52"/>
        <v/>
      </c>
      <c r="AV392" s="517" t="str">
        <f t="shared" si="53"/>
        <v/>
      </c>
      <c r="AW392" s="589" t="str">
        <f>IFERROR(VLOOKUP(功能_33[[#This Row],[功能代號]],SIT_FT!D:D,1,FALSE),"")</f>
        <v/>
      </c>
    </row>
    <row r="393" spans="1:49" ht="13.5" hidden="1" x14ac:dyDescent="0.3">
      <c r="C393" s="276" t="s">
        <v>81</v>
      </c>
      <c r="D393" s="431" t="s">
        <v>2469</v>
      </c>
      <c r="E393" s="275" t="s">
        <v>1079</v>
      </c>
      <c r="F393" s="258" t="s">
        <v>1080</v>
      </c>
      <c r="G393" s="276"/>
      <c r="H393" s="275" t="s">
        <v>122</v>
      </c>
      <c r="I393" s="275" t="s">
        <v>122</v>
      </c>
      <c r="J393" s="282" t="s">
        <v>2881</v>
      </c>
      <c r="K393" s="283" t="s">
        <v>3011</v>
      </c>
      <c r="L393" s="283"/>
      <c r="M393" s="283">
        <v>44519</v>
      </c>
      <c r="N393" s="283">
        <v>44518</v>
      </c>
      <c r="O393" s="283">
        <v>44547</v>
      </c>
      <c r="P393" s="275" t="s">
        <v>12</v>
      </c>
      <c r="Q393" s="275" t="s">
        <v>2810</v>
      </c>
      <c r="V393" s="275"/>
      <c r="X393" s="275"/>
      <c r="Y393" s="275"/>
      <c r="Z393" s="276" t="e">
        <f>VLOOKUP(功能_33[[#This Row],[User]],SKL放款!A:G,7,FALSE)</f>
        <v>#N/A</v>
      </c>
      <c r="AA393" s="283">
        <v>44533</v>
      </c>
      <c r="AB393" s="283" t="s">
        <v>181</v>
      </c>
      <c r="AC393" s="268">
        <v>44550</v>
      </c>
      <c r="AD393" s="283">
        <v>44550</v>
      </c>
      <c r="AE393" s="283">
        <v>44550</v>
      </c>
      <c r="AF393" s="283"/>
      <c r="AG393" s="283"/>
      <c r="AH393" s="334"/>
      <c r="AI393" s="283">
        <f>IFERROR(IF(VLOOKUP(功能_33[[#This Row],[功能代號]],E:S,11,FALSE)=0,"",VLOOKUP(功能_33[[#This Row],[功能代號]],E:S,11,FALSE)),"")</f>
        <v>44547</v>
      </c>
      <c r="AJ393" s="283"/>
      <c r="AK393" s="283"/>
      <c r="AL393" s="276"/>
      <c r="AM393" s="283"/>
      <c r="AN393" s="275" t="s">
        <v>2623</v>
      </c>
      <c r="AQ393" s="507" t="str">
        <f t="shared" si="48"/>
        <v>5-3</v>
      </c>
      <c r="AR393" s="509" t="str">
        <f t="shared" si="49"/>
        <v/>
      </c>
      <c r="AS393" s="511" t="str">
        <f t="shared" si="50"/>
        <v/>
      </c>
      <c r="AT393" s="513" t="str">
        <f t="shared" si="51"/>
        <v/>
      </c>
      <c r="AU393" s="515" t="str">
        <f t="shared" si="52"/>
        <v/>
      </c>
      <c r="AV393" s="517" t="str">
        <f t="shared" si="53"/>
        <v/>
      </c>
      <c r="AW393" s="589" t="str">
        <f>IFERROR(VLOOKUP(功能_33[[#This Row],[功能代號]],SIT_FT!D:D,1,FALSE),"")</f>
        <v/>
      </c>
    </row>
    <row r="394" spans="1:49" ht="17" hidden="1" x14ac:dyDescent="0.3">
      <c r="C394" s="276" t="s">
        <v>81</v>
      </c>
      <c r="D394" s="431" t="s">
        <v>2493</v>
      </c>
      <c r="E394" s="275" t="s">
        <v>1084</v>
      </c>
      <c r="F394" s="258" t="s">
        <v>1085</v>
      </c>
      <c r="G394" s="276"/>
      <c r="H394" s="275" t="s">
        <v>122</v>
      </c>
      <c r="I394" s="275" t="s">
        <v>123</v>
      </c>
      <c r="J394" s="282" t="s">
        <v>2881</v>
      </c>
      <c r="K394" s="283">
        <v>44582</v>
      </c>
      <c r="L394" s="283"/>
      <c r="M394" s="283">
        <v>44519</v>
      </c>
      <c r="N394" s="283">
        <v>44518</v>
      </c>
      <c r="O394" s="283">
        <v>44533</v>
      </c>
      <c r="P394" s="275" t="s">
        <v>12</v>
      </c>
      <c r="Q394" s="258" t="s">
        <v>2810</v>
      </c>
      <c r="V394" s="275"/>
      <c r="X394" s="275"/>
      <c r="Y394" s="275"/>
      <c r="Z394" s="276" t="e">
        <f>VLOOKUP(功能_33[[#This Row],[User]],SKL放款!A:G,7,FALSE)</f>
        <v>#N/A</v>
      </c>
      <c r="AA394" s="283">
        <v>44533</v>
      </c>
      <c r="AB394" s="283" t="s">
        <v>2408</v>
      </c>
      <c r="AC394" s="268">
        <v>44550</v>
      </c>
      <c r="AD394" s="283">
        <v>44550</v>
      </c>
      <c r="AE394" s="283">
        <v>44550</v>
      </c>
      <c r="AF394" s="283"/>
      <c r="AG394" s="283"/>
      <c r="AH394" s="334"/>
      <c r="AI394" s="283">
        <f>IFERROR(IF(VLOOKUP(功能_33[[#This Row],[功能代號]],E:S,11,FALSE)=0,"",VLOOKUP(功能_33[[#This Row],[功能代號]],E:S,11,FALSE)),"")</f>
        <v>44533</v>
      </c>
      <c r="AJ394" s="283"/>
      <c r="AK394" s="283"/>
      <c r="AL394" s="276"/>
      <c r="AM394" s="283"/>
      <c r="AN394" s="588" t="s">
        <v>2813</v>
      </c>
      <c r="AO394" s="576" t="s">
        <v>2814</v>
      </c>
      <c r="AQ394" s="507" t="str">
        <f t="shared" si="48"/>
        <v>5-2</v>
      </c>
      <c r="AR394" s="509" t="str">
        <f t="shared" si="49"/>
        <v/>
      </c>
      <c r="AS394" s="511" t="str">
        <f t="shared" si="50"/>
        <v/>
      </c>
      <c r="AT394" s="513" t="str">
        <f t="shared" si="51"/>
        <v/>
      </c>
      <c r="AU394" s="515" t="str">
        <f t="shared" si="52"/>
        <v/>
      </c>
      <c r="AV394" s="517" t="str">
        <f t="shared" si="53"/>
        <v/>
      </c>
      <c r="AW394" s="589" t="str">
        <f>IFERROR(VLOOKUP(功能_33[[#This Row],[功能代號]],SIT_FT!D:D,1,FALSE),"")</f>
        <v>L5910</v>
      </c>
    </row>
    <row r="395" spans="1:49" ht="17" hidden="1" x14ac:dyDescent="0.3">
      <c r="C395" s="276" t="s">
        <v>81</v>
      </c>
      <c r="D395" s="431" t="s">
        <v>2493</v>
      </c>
      <c r="E395" s="275" t="s">
        <v>1086</v>
      </c>
      <c r="F395" s="258" t="s">
        <v>1087</v>
      </c>
      <c r="G395" s="276"/>
      <c r="H395" s="275" t="s">
        <v>122</v>
      </c>
      <c r="I395" s="275" t="s">
        <v>123</v>
      </c>
      <c r="J395" s="282" t="s">
        <v>2881</v>
      </c>
      <c r="K395" s="283">
        <v>44582</v>
      </c>
      <c r="L395" s="283"/>
      <c r="M395" s="283">
        <v>44519</v>
      </c>
      <c r="N395" s="283">
        <v>44518</v>
      </c>
      <c r="O395" s="283">
        <v>44533</v>
      </c>
      <c r="P395" s="275" t="s">
        <v>12</v>
      </c>
      <c r="Q395" s="258" t="s">
        <v>2810</v>
      </c>
      <c r="V395" s="275"/>
      <c r="X395" s="275"/>
      <c r="Y395" s="275"/>
      <c r="Z395" s="276" t="e">
        <f>VLOOKUP(功能_33[[#This Row],[User]],SKL放款!A:G,7,FALSE)</f>
        <v>#N/A</v>
      </c>
      <c r="AA395" s="283">
        <v>44533</v>
      </c>
      <c r="AB395" s="283" t="s">
        <v>2408</v>
      </c>
      <c r="AC395" s="268">
        <v>44550</v>
      </c>
      <c r="AD395" s="283">
        <v>44550</v>
      </c>
      <c r="AE395" s="283">
        <v>44550</v>
      </c>
      <c r="AF395" s="283"/>
      <c r="AG395" s="283"/>
      <c r="AH395" s="334"/>
      <c r="AI395" s="283">
        <f>IFERROR(IF(VLOOKUP(功能_33[[#This Row],[功能代號]],E:S,11,FALSE)=0,"",VLOOKUP(功能_33[[#This Row],[功能代號]],E:S,11,FALSE)),"")</f>
        <v>44533</v>
      </c>
      <c r="AJ395" s="283"/>
      <c r="AK395" s="283"/>
      <c r="AL395" s="276"/>
      <c r="AM395" s="283"/>
      <c r="AN395" s="588" t="s">
        <v>2813</v>
      </c>
      <c r="AO395" s="575" t="s">
        <v>2814</v>
      </c>
      <c r="AQ395" s="507" t="str">
        <f t="shared" si="48"/>
        <v>5-2</v>
      </c>
      <c r="AR395" s="509" t="str">
        <f t="shared" si="49"/>
        <v/>
      </c>
      <c r="AS395" s="511" t="str">
        <f t="shared" si="50"/>
        <v/>
      </c>
      <c r="AT395" s="513" t="str">
        <f t="shared" si="51"/>
        <v/>
      </c>
      <c r="AU395" s="515" t="str">
        <f t="shared" si="52"/>
        <v/>
      </c>
      <c r="AV395" s="517" t="str">
        <f t="shared" si="53"/>
        <v/>
      </c>
      <c r="AW395" s="589" t="str">
        <f>IFERROR(VLOOKUP(功能_33[[#This Row],[功能代號]],SIT_FT!D:D,1,FALSE),"")</f>
        <v>L5912</v>
      </c>
    </row>
    <row r="396" spans="1:49" ht="13.5" hidden="1" x14ac:dyDescent="0.3">
      <c r="C396" s="276" t="s">
        <v>82</v>
      </c>
      <c r="D396" s="431" t="s">
        <v>2483</v>
      </c>
      <c r="E396" s="275" t="s">
        <v>1033</v>
      </c>
      <c r="F396" s="276" t="s">
        <v>1034</v>
      </c>
      <c r="G396" s="276"/>
      <c r="H396" s="275" t="s">
        <v>179</v>
      </c>
      <c r="I396" s="275" t="s">
        <v>300</v>
      </c>
      <c r="J396" s="218" t="s">
        <v>2875</v>
      </c>
      <c r="K396" s="283">
        <v>44565</v>
      </c>
      <c r="L396" s="283">
        <v>44565</v>
      </c>
      <c r="M396" s="283">
        <v>44397</v>
      </c>
      <c r="N396" s="283">
        <v>44397</v>
      </c>
      <c r="O396" s="283">
        <v>44402</v>
      </c>
      <c r="P396" s="275" t="s">
        <v>8</v>
      </c>
      <c r="Q396" s="258" t="s">
        <v>2810</v>
      </c>
      <c r="V396" s="275"/>
      <c r="X396" s="275"/>
      <c r="Y396" s="275"/>
      <c r="Z396" s="276" t="e">
        <f>VLOOKUP(功能_33[[#This Row],[User]],SKL放款!A:G,7,FALSE)</f>
        <v>#N/A</v>
      </c>
      <c r="AA396" s="283">
        <v>44402</v>
      </c>
      <c r="AB396" s="283" t="s">
        <v>119</v>
      </c>
      <c r="AC396" s="268">
        <v>44550</v>
      </c>
      <c r="AD396" s="283">
        <v>44550</v>
      </c>
      <c r="AE396" s="283">
        <v>44550</v>
      </c>
      <c r="AF396" s="283"/>
      <c r="AG396" s="283"/>
      <c r="AH396" s="334"/>
      <c r="AI396" s="283">
        <f>IFERROR(IF(VLOOKUP(功能_33[[#This Row],[功能代號]],E:S,11,FALSE)=0,"",VLOOKUP(功能_33[[#This Row],[功能代號]],E:S,11,FALSE)),"")</f>
        <v>44402</v>
      </c>
      <c r="AJ396" s="283"/>
      <c r="AK396" s="283"/>
      <c r="AL396" s="276"/>
      <c r="AM396" s="283">
        <v>44397</v>
      </c>
      <c r="AN396" s="275" t="s">
        <v>176</v>
      </c>
      <c r="AQ396" s="507" t="str">
        <f t="shared" si="48"/>
        <v>6-7</v>
      </c>
      <c r="AR396" s="509" t="str">
        <f t="shared" si="49"/>
        <v/>
      </c>
      <c r="AS396" s="511" t="str">
        <f t="shared" si="50"/>
        <v/>
      </c>
      <c r="AT396" s="513" t="str">
        <f t="shared" si="51"/>
        <v/>
      </c>
      <c r="AU396" s="515" t="str">
        <f t="shared" si="52"/>
        <v/>
      </c>
      <c r="AV396" s="517" t="str">
        <f t="shared" si="53"/>
        <v/>
      </c>
      <c r="AW396" s="589" t="str">
        <f>IFERROR(VLOOKUP(功能_33[[#This Row],[功能代號]],SIT_FT!D:D,1,FALSE),"")</f>
        <v>L6751</v>
      </c>
    </row>
    <row r="397" spans="1:49" ht="13.5" hidden="1" x14ac:dyDescent="0.3">
      <c r="C397" s="276" t="s">
        <v>82</v>
      </c>
      <c r="D397" s="431" t="s">
        <v>2483</v>
      </c>
      <c r="E397" s="275" t="s">
        <v>1000</v>
      </c>
      <c r="F397" s="276" t="s">
        <v>1001</v>
      </c>
      <c r="G397" s="276"/>
      <c r="H397" s="275" t="s">
        <v>179</v>
      </c>
      <c r="I397" s="275" t="s">
        <v>300</v>
      </c>
      <c r="J397" s="218" t="s">
        <v>2875</v>
      </c>
      <c r="K397" s="283">
        <v>44565</v>
      </c>
      <c r="L397" s="283">
        <v>44565</v>
      </c>
      <c r="M397" s="283">
        <v>44396</v>
      </c>
      <c r="N397" s="283">
        <v>44396</v>
      </c>
      <c r="O397" s="283">
        <v>44402</v>
      </c>
      <c r="P397" s="275" t="s">
        <v>12</v>
      </c>
      <c r="Q397" s="258" t="s">
        <v>2810</v>
      </c>
      <c r="S397" s="275">
        <v>1</v>
      </c>
      <c r="T397" s="275" t="s">
        <v>1002</v>
      </c>
      <c r="V397" s="275"/>
      <c r="X397" s="275"/>
      <c r="Y397" s="275"/>
      <c r="Z397" s="276" t="e">
        <f>VLOOKUP(功能_33[[#This Row],[User]],SKL放款!A:G,7,FALSE)</f>
        <v>#N/A</v>
      </c>
      <c r="AA397" s="283">
        <v>44402</v>
      </c>
      <c r="AB397" s="283" t="s">
        <v>119</v>
      </c>
      <c r="AC397" s="268">
        <v>44550</v>
      </c>
      <c r="AD397" s="283">
        <v>44550</v>
      </c>
      <c r="AE397" s="283">
        <v>44550</v>
      </c>
      <c r="AF397" s="283"/>
      <c r="AG397" s="283"/>
      <c r="AH397" s="334"/>
      <c r="AI397" s="283">
        <f>IFERROR(IF(VLOOKUP(功能_33[[#This Row],[功能代號]],E:S,11,FALSE)=0,"",VLOOKUP(功能_33[[#This Row],[功能代號]],E:S,11,FALSE)),"")</f>
        <v>44402</v>
      </c>
      <c r="AJ397" s="283"/>
      <c r="AK397" s="283"/>
      <c r="AL397" s="276"/>
      <c r="AM397" s="283">
        <v>44396</v>
      </c>
      <c r="AN397" s="287" t="s">
        <v>998</v>
      </c>
      <c r="AO397" s="288" t="s">
        <v>999</v>
      </c>
      <c r="AQ397" s="507" t="str">
        <f t="shared" si="48"/>
        <v>6-7</v>
      </c>
      <c r="AR397" s="509" t="str">
        <f t="shared" si="49"/>
        <v/>
      </c>
      <c r="AS397" s="511" t="str">
        <f t="shared" si="50"/>
        <v/>
      </c>
      <c r="AT397" s="513" t="str">
        <f t="shared" si="51"/>
        <v/>
      </c>
      <c r="AU397" s="515" t="str">
        <f t="shared" si="52"/>
        <v/>
      </c>
      <c r="AV397" s="517" t="str">
        <f t="shared" si="53"/>
        <v/>
      </c>
      <c r="AW397" s="589" t="str">
        <f>IFERROR(VLOOKUP(功能_33[[#This Row],[功能代號]],SIT_FT!D:D,1,FALSE),"")</f>
        <v>L6752</v>
      </c>
    </row>
    <row r="398" spans="1:49" ht="13.5" hidden="1" x14ac:dyDescent="0.3">
      <c r="C398" s="276" t="s">
        <v>82</v>
      </c>
      <c r="D398" s="431" t="s">
        <v>2483</v>
      </c>
      <c r="E398" s="275" t="s">
        <v>1027</v>
      </c>
      <c r="F398" s="276" t="s">
        <v>1028</v>
      </c>
      <c r="G398" s="276"/>
      <c r="H398" s="275" t="s">
        <v>179</v>
      </c>
      <c r="I398" s="275" t="s">
        <v>300</v>
      </c>
      <c r="J398" s="218" t="s">
        <v>2875</v>
      </c>
      <c r="K398" s="283">
        <v>44565</v>
      </c>
      <c r="L398" s="283">
        <v>44565</v>
      </c>
      <c r="M398" s="283">
        <v>44398</v>
      </c>
      <c r="N398" s="283">
        <v>44398</v>
      </c>
      <c r="O398" s="283">
        <v>44402</v>
      </c>
      <c r="P398" s="275" t="s">
        <v>12</v>
      </c>
      <c r="Q398" s="275" t="s">
        <v>158</v>
      </c>
      <c r="V398" s="275"/>
      <c r="X398" s="275"/>
      <c r="Y398" s="275"/>
      <c r="Z398" s="276" t="str">
        <f>VLOOKUP(功能_33[[#This Row],[User]],SKL放款!A:G,7,FALSE)</f>
        <v>放款服務課</v>
      </c>
      <c r="AA398" s="283">
        <v>44402</v>
      </c>
      <c r="AB398" s="283" t="s">
        <v>119</v>
      </c>
      <c r="AC398" s="268">
        <v>44544</v>
      </c>
      <c r="AD398" s="268">
        <v>44544</v>
      </c>
      <c r="AE398" s="283">
        <v>44550</v>
      </c>
      <c r="AF398" s="283"/>
      <c r="AG398" s="283"/>
      <c r="AH398" s="334"/>
      <c r="AI398" s="283">
        <f>IFERROR(IF(VLOOKUP(功能_33[[#This Row],[功能代號]],E:S,11,FALSE)=0,"",VLOOKUP(功能_33[[#This Row],[功能代號]],E:S,11,FALSE)),"")</f>
        <v>44402</v>
      </c>
      <c r="AJ398" s="283"/>
      <c r="AK398" s="283"/>
      <c r="AL398" s="276"/>
      <c r="AM398" s="283">
        <v>44398</v>
      </c>
      <c r="AN398" s="275" t="s">
        <v>176</v>
      </c>
      <c r="AQ398" s="507" t="str">
        <f t="shared" si="48"/>
        <v>6-7</v>
      </c>
      <c r="AR398" s="509" t="str">
        <f t="shared" si="49"/>
        <v/>
      </c>
      <c r="AS398" s="511" t="str">
        <f t="shared" si="50"/>
        <v/>
      </c>
      <c r="AT398" s="513" t="str">
        <f t="shared" si="51"/>
        <v/>
      </c>
      <c r="AU398" s="515" t="str">
        <f t="shared" si="52"/>
        <v/>
      </c>
      <c r="AV398" s="517" t="str">
        <f t="shared" si="53"/>
        <v/>
      </c>
      <c r="AW398" s="589" t="str">
        <f>IFERROR(VLOOKUP(功能_33[[#This Row],[功能代號]],SIT_FT!D:D,1,FALSE),"")</f>
        <v>L6754</v>
      </c>
    </row>
    <row r="399" spans="1:49" ht="13.5" hidden="1" x14ac:dyDescent="0.3">
      <c r="A399" s="276"/>
      <c r="C399" s="276" t="s">
        <v>82</v>
      </c>
      <c r="D399" s="276" t="s">
        <v>2483</v>
      </c>
      <c r="E399" s="275" t="s">
        <v>524</v>
      </c>
      <c r="F399" s="276" t="s">
        <v>525</v>
      </c>
      <c r="G399" s="276"/>
      <c r="H399" s="275" t="s">
        <v>179</v>
      </c>
      <c r="I399" s="275" t="s">
        <v>300</v>
      </c>
      <c r="J399" s="218" t="s">
        <v>2875</v>
      </c>
      <c r="K399" s="283">
        <v>44565</v>
      </c>
      <c r="L399" s="283">
        <v>44565</v>
      </c>
      <c r="M399" s="283">
        <v>44515</v>
      </c>
      <c r="N399" s="283">
        <v>44466</v>
      </c>
      <c r="O399" s="283">
        <f>IFERROR(IF(VLOOKUP(功能_33[[#This Row],[功能代號]],討論項目!A:H,8,FALSE)=0,"",VLOOKUP(功能_33[[#This Row],[功能代號]],討論項目!A:H,8,FALSE)),"")</f>
        <v>44475</v>
      </c>
      <c r="P399" s="275" t="s">
        <v>12</v>
      </c>
      <c r="Q399" s="275" t="s">
        <v>13</v>
      </c>
      <c r="V399" s="275"/>
      <c r="X399" s="275"/>
      <c r="Y399" s="275"/>
      <c r="Z399" s="276" t="str">
        <f>VLOOKUP(功能_33[[#This Row],[User]],SKL放款!A:G,7,FALSE)</f>
        <v>放款推展課</v>
      </c>
      <c r="AA399" s="283">
        <v>44533</v>
      </c>
      <c r="AB399" s="283">
        <v>44533</v>
      </c>
      <c r="AC399" s="283">
        <v>44533</v>
      </c>
      <c r="AD399" s="283">
        <v>44533</v>
      </c>
      <c r="AE399" s="283">
        <v>44550</v>
      </c>
      <c r="AF399" s="283"/>
      <c r="AG399" s="283"/>
      <c r="AH399" s="334"/>
      <c r="AI399" s="283">
        <f>IFERROR(IF(VLOOKUP(功能_33[[#This Row],[功能代號]],E:S,11,FALSE)=0,"",VLOOKUP(功能_33[[#This Row],[功能代號]],E:S,11,FALSE)),"")</f>
        <v>44475</v>
      </c>
      <c r="AJ399" s="283"/>
      <c r="AK399" s="283"/>
      <c r="AL399" s="276"/>
      <c r="AM399" s="283"/>
      <c r="AN399" s="287" t="s">
        <v>522</v>
      </c>
      <c r="AO399" s="288" t="s">
        <v>523</v>
      </c>
      <c r="AQ399" s="507" t="str">
        <f t="shared" si="48"/>
        <v>6-7</v>
      </c>
      <c r="AR399" s="509" t="str">
        <f t="shared" si="49"/>
        <v/>
      </c>
      <c r="AS399" s="511" t="str">
        <f t="shared" si="50"/>
        <v/>
      </c>
      <c r="AT399" s="513" t="str">
        <f t="shared" si="51"/>
        <v/>
      </c>
      <c r="AU399" s="515" t="str">
        <f t="shared" si="52"/>
        <v/>
      </c>
      <c r="AV399" s="517" t="str">
        <f t="shared" si="53"/>
        <v/>
      </c>
      <c r="AW399" s="589" t="str">
        <f>IFERROR(VLOOKUP(功能_33[[#This Row],[功能代號]],SIT_FT!D:D,1,FALSE),"")</f>
        <v>L6755</v>
      </c>
    </row>
    <row r="400" spans="1:49" ht="13.5" hidden="1" x14ac:dyDescent="0.3">
      <c r="A400" s="276"/>
      <c r="B400" s="374"/>
      <c r="C400" s="276" t="s">
        <v>82</v>
      </c>
      <c r="D400" s="276" t="s">
        <v>2982</v>
      </c>
      <c r="E400" s="275" t="s">
        <v>2983</v>
      </c>
      <c r="F400" s="276" t="s">
        <v>2992</v>
      </c>
      <c r="G400" s="276" t="s">
        <v>2993</v>
      </c>
      <c r="H400" s="275" t="s">
        <v>2893</v>
      </c>
      <c r="I400" s="275" t="s">
        <v>2893</v>
      </c>
      <c r="J400" s="218"/>
      <c r="K400" s="275" t="s">
        <v>3010</v>
      </c>
      <c r="L400" s="283"/>
      <c r="M400" s="283"/>
      <c r="N400" s="283"/>
      <c r="O400" s="283"/>
      <c r="P400" s="275" t="s">
        <v>7</v>
      </c>
      <c r="Q400" s="275" t="s">
        <v>2821</v>
      </c>
      <c r="V400" s="275"/>
      <c r="X400" s="275"/>
      <c r="Y400" s="275"/>
      <c r="Z400" s="374" t="str">
        <f>VLOOKUP(功能_33[[#This Row],[User]],SKL放款!A:G,7,FALSE)</f>
        <v>放款服務課</v>
      </c>
      <c r="AA400" s="283"/>
      <c r="AB400" s="283"/>
      <c r="AC400" s="283"/>
      <c r="AD400" s="283"/>
      <c r="AE400" s="215"/>
      <c r="AF400" s="287" t="s">
        <v>522</v>
      </c>
      <c r="AG400" s="288" t="s">
        <v>523</v>
      </c>
      <c r="AH400" s="269"/>
      <c r="AI400" s="269" t="str">
        <f>IFERROR(IF(VLOOKUP(功能_33[[#This Row],[功能代號]],E:S,11,FALSE)=0,"",VLOOKUP(功能_33[[#This Row],[功能代號]],E:S,11,FALSE)),"")</f>
        <v/>
      </c>
      <c r="AJ400" s="269"/>
      <c r="AK400" s="269"/>
      <c r="AL400" s="374"/>
      <c r="AN400" s="275" t="s">
        <v>176</v>
      </c>
      <c r="AO400" s="615"/>
      <c r="AQ400" s="562" t="str">
        <f t="shared" ref="AQ400:AQ401" si="54">IF(COUNTA(AE400)=1,LEFT(D400,3),"")</f>
        <v/>
      </c>
      <c r="AR400" s="509" t="str">
        <f t="shared" ref="AR400:AR401" si="55">IF(AND(COUNTA(N400)=1,COUNTA(O400)=1,COUNTA(AA400)=1,COUNTA(AD400)=1,COUNTA(AE400)=0),LEFT(D400,3),"")</f>
        <v/>
      </c>
      <c r="AS400" s="511" t="str">
        <f t="shared" ref="AS400:AS401" si="56">IF(AND(COUNTA(N400)=1,COUNTA(O400)=1,COUNTA(AA400)=1,COUNTA(AD400)=0,COUNTA(AE400)=0),LEFT(D400,3),"")</f>
        <v/>
      </c>
      <c r="AT400" s="513" t="str">
        <f t="shared" ref="AT400:AT401" si="57">IF(AND(COUNTA(O400)=0,COUNTA(AA400)=1),LEFT(D400,3),"")</f>
        <v/>
      </c>
      <c r="AU400" s="515" t="str">
        <f t="shared" ref="AU400:AU401" si="58">IF(AND(COUNTA(O400)=1,COUNTA(AA400)=0),LEFT(D400,3),"")</f>
        <v/>
      </c>
      <c r="AV400" s="517" t="str">
        <f t="shared" ref="AV400:AV401" si="59">IF(AND(COUNTA(O400)=0,COUNTA(AA400)=0),LEFT(D400,3),"")</f>
        <v>6-9</v>
      </c>
      <c r="AW400" s="517" t="str">
        <f>IFERROR(VLOOKUP(功能_33[[#This Row],[功能代號]],SIT_FT!D:D,1,FALSE),"")</f>
        <v/>
      </c>
    </row>
    <row r="401" spans="1:49" ht="13.5" hidden="1" x14ac:dyDescent="0.3">
      <c r="A401" s="276"/>
      <c r="B401" s="374"/>
      <c r="C401" s="276" t="s">
        <v>82</v>
      </c>
      <c r="D401" s="276" t="s">
        <v>2982</v>
      </c>
      <c r="E401" s="275" t="s">
        <v>2984</v>
      </c>
      <c r="F401" s="276" t="s">
        <v>2988</v>
      </c>
      <c r="G401" s="276" t="s">
        <v>2994</v>
      </c>
      <c r="H401" s="275" t="s">
        <v>2893</v>
      </c>
      <c r="I401" s="275" t="s">
        <v>2893</v>
      </c>
      <c r="J401" s="218"/>
      <c r="K401" s="275" t="s">
        <v>3010</v>
      </c>
      <c r="L401" s="283"/>
      <c r="M401" s="283"/>
      <c r="N401" s="283"/>
      <c r="O401" s="283" t="str">
        <f>IFERROR(IF(VLOOKUP(功能_33[[#This Row],[功能代號]],討論項目!A:H,8,FALSE)=0,"",VLOOKUP(功能_33[[#This Row],[功能代號]],討論項目!A:H,8,FALSE)),"")</f>
        <v/>
      </c>
      <c r="P401" s="275" t="s">
        <v>7</v>
      </c>
      <c r="Q401" s="275" t="s">
        <v>2821</v>
      </c>
      <c r="V401" s="275"/>
      <c r="X401" s="275"/>
      <c r="Y401" s="275"/>
      <c r="Z401" s="374" t="str">
        <f>VLOOKUP(功能_33[[#This Row],[User]],SKL放款!A:G,7,FALSE)</f>
        <v>放款服務課</v>
      </c>
      <c r="AA401" s="283"/>
      <c r="AB401" s="283"/>
      <c r="AC401" s="283"/>
      <c r="AD401" s="283"/>
      <c r="AE401" s="215"/>
      <c r="AF401" s="269"/>
      <c r="AG401" s="269"/>
      <c r="AH401" s="269"/>
      <c r="AI401" s="269" t="str">
        <f>IFERROR(IF(VLOOKUP(功能_33[[#This Row],[功能代號]],E:S,11,FALSE)=0,"",VLOOKUP(功能_33[[#This Row],[功能代號]],E:S,11,FALSE)),"")</f>
        <v/>
      </c>
      <c r="AJ401" s="269"/>
      <c r="AK401" s="269"/>
      <c r="AL401" s="374"/>
      <c r="AN401" s="275" t="s">
        <v>176</v>
      </c>
      <c r="AO401" s="615"/>
      <c r="AQ401" s="562" t="str">
        <f t="shared" si="54"/>
        <v/>
      </c>
      <c r="AR401" s="509" t="str">
        <f t="shared" si="55"/>
        <v/>
      </c>
      <c r="AS401" s="511" t="str">
        <f t="shared" si="56"/>
        <v/>
      </c>
      <c r="AT401" s="513" t="str">
        <f t="shared" si="57"/>
        <v/>
      </c>
      <c r="AU401" s="515" t="str">
        <f t="shared" si="58"/>
        <v>6-9</v>
      </c>
      <c r="AV401" s="517" t="str">
        <f t="shared" si="59"/>
        <v/>
      </c>
      <c r="AW401" s="517" t="str">
        <f>IFERROR(VLOOKUP(功能_33[[#This Row],[功能代號]],SIT_FT!D:D,1,FALSE),"")</f>
        <v/>
      </c>
    </row>
    <row r="402" spans="1:49" ht="13.5" hidden="1" x14ac:dyDescent="0.3">
      <c r="A402" s="276"/>
      <c r="B402" s="374"/>
      <c r="C402" s="276" t="s">
        <v>82</v>
      </c>
      <c r="D402" s="276" t="s">
        <v>2982</v>
      </c>
      <c r="E402" s="275" t="s">
        <v>2985</v>
      </c>
      <c r="F402" s="276" t="s">
        <v>2989</v>
      </c>
      <c r="G402" s="276" t="s">
        <v>2995</v>
      </c>
      <c r="H402" s="275" t="s">
        <v>2893</v>
      </c>
      <c r="I402" s="275" t="s">
        <v>2893</v>
      </c>
      <c r="J402" s="218"/>
      <c r="K402" s="275" t="s">
        <v>3010</v>
      </c>
      <c r="L402" s="283"/>
      <c r="M402" s="283"/>
      <c r="N402" s="283"/>
      <c r="O402" s="283" t="str">
        <f>IFERROR(IF(VLOOKUP(功能_33[[#This Row],[功能代號]],討論項目!A:H,8,FALSE)=0,"",VLOOKUP(功能_33[[#This Row],[功能代號]],討論項目!A:H,8,FALSE)),"")</f>
        <v/>
      </c>
      <c r="P402" s="275" t="s">
        <v>7</v>
      </c>
      <c r="Q402" s="275" t="s">
        <v>2821</v>
      </c>
      <c r="V402" s="275"/>
      <c r="X402" s="275"/>
      <c r="Y402" s="275"/>
      <c r="Z402" s="374" t="str">
        <f>VLOOKUP(功能_33[[#This Row],[User]],SKL放款!A:G,7,FALSE)</f>
        <v>放款服務課</v>
      </c>
      <c r="AA402" s="283"/>
      <c r="AB402" s="283"/>
      <c r="AC402" s="283"/>
      <c r="AD402" s="283"/>
      <c r="AE402" s="215"/>
      <c r="AF402" s="269"/>
      <c r="AG402" s="269"/>
      <c r="AH402" s="269"/>
      <c r="AI402" s="269" t="str">
        <f>IFERROR(IF(VLOOKUP(功能_33[[#This Row],[功能代號]],E:S,11,FALSE)=0,"",VLOOKUP(功能_33[[#This Row],[功能代號]],E:S,11,FALSE)),"")</f>
        <v/>
      </c>
      <c r="AJ402" s="269"/>
      <c r="AK402" s="269"/>
      <c r="AL402" s="374"/>
      <c r="AN402" s="275" t="s">
        <v>176</v>
      </c>
      <c r="AO402" s="615"/>
      <c r="AQ402" s="562" t="str">
        <f>IF(COUNTA(AE402)=1,LEFT(D402,3),"")</f>
        <v/>
      </c>
      <c r="AR402" s="509" t="str">
        <f>IF(AND(COUNTA(N402)=1,COUNTA(O402)=1,COUNTA(AA402)=1,COUNTA(AD402)=1,COUNTA(AE402)=0),LEFT(D402,3),"")</f>
        <v/>
      </c>
      <c r="AS402" s="511" t="str">
        <f>IF(AND(COUNTA(N402)=1,COUNTA(O402)=1,COUNTA(AA402)=1,COUNTA(AD402)=0,COUNTA(AE402)=0),LEFT(D402,3),"")</f>
        <v/>
      </c>
      <c r="AT402" s="513" t="str">
        <f>IF(AND(COUNTA(O402)=0,COUNTA(AA402)=1),LEFT(D402,3),"")</f>
        <v/>
      </c>
      <c r="AU402" s="515" t="str">
        <f>IF(AND(COUNTA(O402)=1,COUNTA(AA402)=0),LEFT(D402,3),"")</f>
        <v>6-9</v>
      </c>
      <c r="AV402" s="517" t="str">
        <f>IF(AND(COUNTA(O402)=0,COUNTA(AA402)=0),LEFT(D402,3),"")</f>
        <v/>
      </c>
      <c r="AW402" s="517" t="str">
        <f>IFERROR(VLOOKUP(功能_33[[#This Row],[功能代號]],SIT_FT!D:D,1,FALSE),"")</f>
        <v/>
      </c>
    </row>
    <row r="403" spans="1:49" ht="13.5" hidden="1" x14ac:dyDescent="0.3">
      <c r="A403" s="276"/>
      <c r="B403" s="374"/>
      <c r="C403" s="276" t="s">
        <v>82</v>
      </c>
      <c r="D403" s="276" t="s">
        <v>2982</v>
      </c>
      <c r="E403" s="275" t="s">
        <v>2986</v>
      </c>
      <c r="F403" s="276" t="s">
        <v>2990</v>
      </c>
      <c r="G403" s="276" t="s">
        <v>2996</v>
      </c>
      <c r="H403" s="275" t="s">
        <v>2893</v>
      </c>
      <c r="I403" s="275" t="s">
        <v>300</v>
      </c>
      <c r="J403" s="218"/>
      <c r="K403" s="275" t="s">
        <v>3010</v>
      </c>
      <c r="L403" s="283"/>
      <c r="M403" s="283"/>
      <c r="N403" s="283"/>
      <c r="O403" s="283" t="str">
        <f>IFERROR(IF(VLOOKUP(功能_33[[#This Row],[功能代號]],討論項目!A:H,8,FALSE)=0,"",VLOOKUP(功能_33[[#This Row],[功能代號]],討論項目!A:H,8,FALSE)),"")</f>
        <v/>
      </c>
      <c r="P403" s="275" t="s">
        <v>7</v>
      </c>
      <c r="Q403" s="275" t="s">
        <v>2821</v>
      </c>
      <c r="V403" s="275"/>
      <c r="X403" s="275"/>
      <c r="Y403" s="275"/>
      <c r="Z403" s="374" t="str">
        <f>VLOOKUP(功能_33[[#This Row],[User]],SKL放款!A:G,7,FALSE)</f>
        <v>放款服務課</v>
      </c>
      <c r="AA403" s="283"/>
      <c r="AB403" s="283"/>
      <c r="AC403" s="283"/>
      <c r="AD403" s="283"/>
      <c r="AE403" s="215"/>
      <c r="AF403" s="269"/>
      <c r="AG403" s="269"/>
      <c r="AH403" s="269"/>
      <c r="AI403" s="269" t="str">
        <f>IFERROR(IF(VLOOKUP(功能_33[[#This Row],[功能代號]],E:S,11,FALSE)=0,"",VLOOKUP(功能_33[[#This Row],[功能代號]],E:S,11,FALSE)),"")</f>
        <v/>
      </c>
      <c r="AJ403" s="269"/>
      <c r="AK403" s="269"/>
      <c r="AL403" s="374"/>
      <c r="AN403" s="275" t="s">
        <v>176</v>
      </c>
      <c r="AO403" s="615"/>
      <c r="AQ403" s="562" t="str">
        <f>IF(COUNTA(AE403)=1,LEFT(D403,3),"")</f>
        <v/>
      </c>
      <c r="AR403" s="509" t="str">
        <f>IF(AND(COUNTA(N403)=1,COUNTA(O403)=1,COUNTA(AA403)=1,COUNTA(AD403)=1,COUNTA(AE403)=0),LEFT(D403,3),"")</f>
        <v/>
      </c>
      <c r="AS403" s="511" t="str">
        <f>IF(AND(COUNTA(N403)=1,COUNTA(O403)=1,COUNTA(AA403)=1,COUNTA(AD403)=0,COUNTA(AE403)=0),LEFT(D403,3),"")</f>
        <v/>
      </c>
      <c r="AT403" s="513" t="str">
        <f>IF(AND(COUNTA(O403)=0,COUNTA(AA403)=1),LEFT(D403,3),"")</f>
        <v/>
      </c>
      <c r="AU403" s="515" t="str">
        <f>IF(AND(COUNTA(O403)=1,COUNTA(AA403)=0),LEFT(D403,3),"")</f>
        <v>6-9</v>
      </c>
      <c r="AV403" s="517" t="str">
        <f>IF(AND(COUNTA(O403)=0,COUNTA(AA403)=0),LEFT(D403,3),"")</f>
        <v/>
      </c>
      <c r="AW403" s="517" t="str">
        <f>IFERROR(VLOOKUP(功能_33[[#This Row],[功能代號]],SIT_FT!D:D,1,FALSE),"")</f>
        <v/>
      </c>
    </row>
    <row r="404" spans="1:49" ht="13.5" hidden="1" x14ac:dyDescent="0.3">
      <c r="A404" s="276"/>
      <c r="B404" s="374"/>
      <c r="C404" s="276" t="s">
        <v>82</v>
      </c>
      <c r="D404" s="276" t="s">
        <v>2982</v>
      </c>
      <c r="E404" s="275" t="s">
        <v>2987</v>
      </c>
      <c r="F404" s="276" t="s">
        <v>2991</v>
      </c>
      <c r="G404" s="276" t="s">
        <v>2997</v>
      </c>
      <c r="H404" s="275" t="s">
        <v>2893</v>
      </c>
      <c r="I404" s="275" t="s">
        <v>2893</v>
      </c>
      <c r="J404" s="218"/>
      <c r="K404" s="275" t="s">
        <v>3010</v>
      </c>
      <c r="L404" s="283"/>
      <c r="M404" s="283"/>
      <c r="N404" s="283"/>
      <c r="O404" s="283" t="str">
        <f>IFERROR(IF(VLOOKUP(功能_33[[#This Row],[功能代號]],討論項目!A:H,8,FALSE)=0,"",VLOOKUP(功能_33[[#This Row],[功能代號]],討論項目!A:H,8,FALSE)),"")</f>
        <v/>
      </c>
      <c r="P404" s="275" t="s">
        <v>7</v>
      </c>
      <c r="Q404" s="275" t="s">
        <v>2821</v>
      </c>
      <c r="V404" s="275"/>
      <c r="X404" s="275"/>
      <c r="Y404" s="275"/>
      <c r="Z404" s="374" t="str">
        <f>VLOOKUP(功能_33[[#This Row],[User]],SKL放款!A:G,7,FALSE)</f>
        <v>放款服務課</v>
      </c>
      <c r="AA404" s="283"/>
      <c r="AB404" s="283"/>
      <c r="AC404" s="283"/>
      <c r="AD404" s="283"/>
      <c r="AE404" s="215"/>
      <c r="AF404" s="269"/>
      <c r="AG404" s="269"/>
      <c r="AH404" s="269"/>
      <c r="AI404" s="269" t="str">
        <f>IFERROR(IF(VLOOKUP(功能_33[[#This Row],[功能代號]],E:S,11,FALSE)=0,"",VLOOKUP(功能_33[[#This Row],[功能代號]],E:S,11,FALSE)),"")</f>
        <v/>
      </c>
      <c r="AJ404" s="269"/>
      <c r="AK404" s="269"/>
      <c r="AL404" s="374"/>
      <c r="AN404" s="275" t="s">
        <v>176</v>
      </c>
      <c r="AO404" s="615"/>
      <c r="AQ404" s="562" t="str">
        <f>IF(COUNTA(AE404)=1,LEFT(D404,3),"")</f>
        <v/>
      </c>
      <c r="AR404" s="509" t="str">
        <f>IF(AND(COUNTA(N404)=1,COUNTA(O404)=1,COUNTA(AA404)=1,COUNTA(AD404)=1,COUNTA(AE404)=0),LEFT(D404,3),"")</f>
        <v/>
      </c>
      <c r="AS404" s="511" t="str">
        <f>IF(AND(COUNTA(N404)=1,COUNTA(O404)=1,COUNTA(AA404)=1,COUNTA(AD404)=0,COUNTA(AE404)=0),LEFT(D404,3),"")</f>
        <v/>
      </c>
      <c r="AT404" s="513" t="str">
        <f>IF(AND(COUNTA(O404)=0,COUNTA(AA404)=1),LEFT(D404,3),"")</f>
        <v/>
      </c>
      <c r="AU404" s="515" t="str">
        <f>IF(AND(COUNTA(O404)=1,COUNTA(AA404)=0),LEFT(D404,3),"")</f>
        <v>6-9</v>
      </c>
      <c r="AV404" s="517" t="str">
        <f>IF(AND(COUNTA(O404)=0,COUNTA(AA404)=0),LEFT(D404,3),"")</f>
        <v/>
      </c>
      <c r="AW404" s="517" t="str">
        <f>IFERROR(VLOOKUP(功能_33[[#This Row],[功能代號]],SIT_FT!D:D,1,FALSE),"")</f>
        <v/>
      </c>
    </row>
    <row r="405" spans="1:49" ht="13.5" hidden="1" x14ac:dyDescent="0.3">
      <c r="A405" s="276"/>
      <c r="C405" s="276" t="s">
        <v>84</v>
      </c>
      <c r="D405" s="276" t="s">
        <v>904</v>
      </c>
      <c r="E405" s="275" t="s">
        <v>908</v>
      </c>
      <c r="F405" s="276" t="s">
        <v>909</v>
      </c>
      <c r="G405" s="276"/>
      <c r="H405" s="275" t="s">
        <v>179</v>
      </c>
      <c r="I405" s="275" t="s">
        <v>300</v>
      </c>
      <c r="J405" s="218" t="s">
        <v>2863</v>
      </c>
      <c r="K405" s="283">
        <v>44579</v>
      </c>
      <c r="L405" s="275"/>
      <c r="M405" s="283">
        <v>44502</v>
      </c>
      <c r="N405" s="283">
        <v>44503</v>
      </c>
      <c r="O405" s="283">
        <v>44503</v>
      </c>
      <c r="P405" s="275" t="s">
        <v>7</v>
      </c>
      <c r="Q405" s="275" t="s">
        <v>28</v>
      </c>
      <c r="R405" s="258" t="s">
        <v>907</v>
      </c>
      <c r="V405" s="275"/>
      <c r="X405" s="275"/>
      <c r="Y405" s="275"/>
      <c r="Z405" s="276" t="str">
        <f>VLOOKUP(功能_33[[#This Row],[User]],SKL放款!A:G,7,FALSE)</f>
        <v>放款審查課</v>
      </c>
      <c r="AA405" s="283">
        <v>44533</v>
      </c>
      <c r="AB405" s="283" t="s">
        <v>181</v>
      </c>
      <c r="AC405" s="283">
        <v>44526</v>
      </c>
      <c r="AD405" s="283">
        <v>44526</v>
      </c>
      <c r="AE405" s="283">
        <v>44546</v>
      </c>
      <c r="AF405" s="283"/>
      <c r="AG405" s="283"/>
      <c r="AH405" s="334"/>
      <c r="AI405" s="283">
        <f>IFERROR(IF(VLOOKUP(功能_33[[#This Row],[功能代號]],E:S,11,FALSE)=0,"",VLOOKUP(功能_33[[#This Row],[功能代號]],E:S,11,FALSE)),"")</f>
        <v>44503</v>
      </c>
      <c r="AJ405" s="283"/>
      <c r="AK405" s="283"/>
      <c r="AL405" s="276"/>
      <c r="AM405" s="283"/>
      <c r="AN405" s="275" t="s">
        <v>176</v>
      </c>
      <c r="AQ405" s="507" t="str">
        <f t="shared" si="48"/>
        <v>8-1</v>
      </c>
      <c r="AR405" s="509" t="str">
        <f t="shared" si="49"/>
        <v/>
      </c>
      <c r="AS405" s="511" t="str">
        <f t="shared" si="50"/>
        <v/>
      </c>
      <c r="AT405" s="513" t="str">
        <f t="shared" si="51"/>
        <v/>
      </c>
      <c r="AU405" s="515" t="str">
        <f t="shared" si="52"/>
        <v/>
      </c>
      <c r="AV405" s="517" t="str">
        <f t="shared" si="53"/>
        <v/>
      </c>
      <c r="AW405" s="589" t="str">
        <f>IFERROR(VLOOKUP(功能_33[[#This Row],[功能代號]],SIT_FT!D:D,1,FALSE),"")</f>
        <v>L8100</v>
      </c>
    </row>
    <row r="406" spans="1:49" ht="13.5" hidden="1" x14ac:dyDescent="0.3">
      <c r="C406" s="276" t="s">
        <v>84</v>
      </c>
      <c r="D406" s="276" t="s">
        <v>2798</v>
      </c>
      <c r="E406" s="275" t="s">
        <v>923</v>
      </c>
      <c r="F406" s="276" t="s">
        <v>924</v>
      </c>
      <c r="G406" s="276"/>
      <c r="H406" s="275" t="s">
        <v>179</v>
      </c>
      <c r="I406" s="275" t="s">
        <v>300</v>
      </c>
      <c r="J406" s="282" t="s">
        <v>2791</v>
      </c>
      <c r="K406" s="283">
        <v>44578</v>
      </c>
      <c r="L406" s="283"/>
      <c r="M406" s="283">
        <v>44498</v>
      </c>
      <c r="N406" s="283">
        <v>44498</v>
      </c>
      <c r="O406" s="283">
        <v>44498</v>
      </c>
      <c r="P406" s="275" t="s">
        <v>7</v>
      </c>
      <c r="Q406" s="275" t="s">
        <v>24</v>
      </c>
      <c r="V406" s="275"/>
      <c r="X406" s="275"/>
      <c r="Y406" s="275"/>
      <c r="Z406" s="276" t="str">
        <f>VLOOKUP(功能_33[[#This Row],[User]],SKL放款!A:G,7,FALSE)</f>
        <v>放款服務課</v>
      </c>
      <c r="AA406" s="283">
        <v>44533</v>
      </c>
      <c r="AB406" s="283" t="s">
        <v>2408</v>
      </c>
      <c r="AC406" s="215" t="s">
        <v>2717</v>
      </c>
      <c r="AD406" s="283">
        <v>44544</v>
      </c>
      <c r="AE406" s="283">
        <v>44544</v>
      </c>
      <c r="AF406" s="283"/>
      <c r="AG406" s="283"/>
      <c r="AH406" s="334"/>
      <c r="AI406" s="283">
        <f>IFERROR(IF(VLOOKUP(功能_33[[#This Row],[功能代號]],E:S,11,FALSE)=0,"",VLOOKUP(功能_33[[#This Row],[功能代號]],E:S,11,FALSE)),"")</f>
        <v>44498</v>
      </c>
      <c r="AJ406" s="283"/>
      <c r="AK406" s="283"/>
      <c r="AL406" s="276"/>
      <c r="AM406" s="283"/>
      <c r="AN406" s="275" t="s">
        <v>176</v>
      </c>
      <c r="AQ406" s="507" t="str">
        <f t="shared" si="48"/>
        <v>8-2</v>
      </c>
      <c r="AR406" s="509" t="str">
        <f t="shared" si="49"/>
        <v/>
      </c>
      <c r="AS406" s="511" t="str">
        <f t="shared" si="50"/>
        <v/>
      </c>
      <c r="AT406" s="513" t="str">
        <f t="shared" si="51"/>
        <v/>
      </c>
      <c r="AU406" s="515" t="str">
        <f t="shared" si="52"/>
        <v/>
      </c>
      <c r="AV406" s="517" t="str">
        <f t="shared" si="53"/>
        <v/>
      </c>
      <c r="AW406" s="589" t="str">
        <f>IFERROR(VLOOKUP(功能_33[[#This Row],[功能代號]],SIT_FT!D:D,1,FALSE),"")</f>
        <v/>
      </c>
    </row>
    <row r="407" spans="1:49" ht="13.5" hidden="1" x14ac:dyDescent="0.3">
      <c r="C407" s="276" t="s">
        <v>84</v>
      </c>
      <c r="D407" s="276" t="s">
        <v>922</v>
      </c>
      <c r="E407" s="275" t="s">
        <v>925</v>
      </c>
      <c r="F407" s="276" t="s">
        <v>926</v>
      </c>
      <c r="G407" s="276"/>
      <c r="H407" s="275" t="s">
        <v>179</v>
      </c>
      <c r="I407" s="275" t="s">
        <v>300</v>
      </c>
      <c r="J407" s="282" t="s">
        <v>2791</v>
      </c>
      <c r="K407" s="283">
        <v>44578</v>
      </c>
      <c r="L407" s="283"/>
      <c r="M407" s="283">
        <v>44498</v>
      </c>
      <c r="N407" s="283">
        <v>44498</v>
      </c>
      <c r="O407" s="283">
        <v>44533</v>
      </c>
      <c r="P407" s="275" t="s">
        <v>12</v>
      </c>
      <c r="Q407" s="275" t="s">
        <v>24</v>
      </c>
      <c r="V407" s="275"/>
      <c r="X407" s="275"/>
      <c r="Y407" s="275"/>
      <c r="Z407" s="276" t="str">
        <f>VLOOKUP(功能_33[[#This Row],[User]],SKL放款!A:G,7,FALSE)</f>
        <v>放款服務課</v>
      </c>
      <c r="AA407" s="283">
        <v>44533</v>
      </c>
      <c r="AB407" s="283" t="s">
        <v>2408</v>
      </c>
      <c r="AC407" s="215" t="s">
        <v>2696</v>
      </c>
      <c r="AD407" s="283">
        <v>44544</v>
      </c>
      <c r="AE407" s="283">
        <v>44544</v>
      </c>
      <c r="AF407" s="283"/>
      <c r="AG407" s="283"/>
      <c r="AH407" s="334"/>
      <c r="AI407" s="283">
        <f>IFERROR(IF(VLOOKUP(功能_33[[#This Row],[功能代號]],E:S,11,FALSE)=0,"",VLOOKUP(功能_33[[#This Row],[功能代號]],E:S,11,FALSE)),"")</f>
        <v>44533</v>
      </c>
      <c r="AJ407" s="283"/>
      <c r="AK407" s="283"/>
      <c r="AL407" s="276"/>
      <c r="AM407" s="283"/>
      <c r="AN407" s="287" t="s">
        <v>927</v>
      </c>
      <c r="AO407" s="288" t="s">
        <v>928</v>
      </c>
      <c r="AQ407" s="507" t="str">
        <f t="shared" si="48"/>
        <v>8-2</v>
      </c>
      <c r="AR407" s="509" t="str">
        <f t="shared" si="49"/>
        <v/>
      </c>
      <c r="AS407" s="511" t="str">
        <f t="shared" si="50"/>
        <v/>
      </c>
      <c r="AT407" s="513" t="str">
        <f t="shared" si="51"/>
        <v/>
      </c>
      <c r="AU407" s="515" t="str">
        <f t="shared" si="52"/>
        <v/>
      </c>
      <c r="AV407" s="517" t="str">
        <f t="shared" si="53"/>
        <v/>
      </c>
      <c r="AW407" s="589" t="str">
        <f>IFERROR(VLOOKUP(功能_33[[#This Row],[功能代號]],SIT_FT!D:D,1,FALSE),"")</f>
        <v/>
      </c>
    </row>
    <row r="408" spans="1:49" ht="13.5" hidden="1" x14ac:dyDescent="0.3">
      <c r="C408" s="276" t="s">
        <v>84</v>
      </c>
      <c r="D408" s="276" t="s">
        <v>922</v>
      </c>
      <c r="E408" s="275" t="s">
        <v>929</v>
      </c>
      <c r="F408" s="276" t="s">
        <v>930</v>
      </c>
      <c r="G408" s="276"/>
      <c r="H408" s="275" t="s">
        <v>179</v>
      </c>
      <c r="I408" s="275" t="s">
        <v>300</v>
      </c>
      <c r="J408" s="282" t="s">
        <v>2791</v>
      </c>
      <c r="K408" s="283">
        <v>44578</v>
      </c>
      <c r="L408" s="283"/>
      <c r="M408" s="283">
        <v>44498</v>
      </c>
      <c r="N408" s="283">
        <v>44498</v>
      </c>
      <c r="O408" s="283">
        <v>44533</v>
      </c>
      <c r="P408" s="275" t="s">
        <v>7</v>
      </c>
      <c r="Q408" s="275" t="s">
        <v>24</v>
      </c>
      <c r="V408" s="275"/>
      <c r="X408" s="275"/>
      <c r="Y408" s="275"/>
      <c r="Z408" s="276" t="str">
        <f>VLOOKUP(功能_33[[#This Row],[User]],SKL放款!A:G,7,FALSE)</f>
        <v>放款服務課</v>
      </c>
      <c r="AA408" s="283">
        <v>44533</v>
      </c>
      <c r="AB408" s="283" t="s">
        <v>2408</v>
      </c>
      <c r="AC408" s="215" t="s">
        <v>2696</v>
      </c>
      <c r="AD408" s="283">
        <v>44544</v>
      </c>
      <c r="AE408" s="283">
        <v>44544</v>
      </c>
      <c r="AF408" s="283"/>
      <c r="AG408" s="283"/>
      <c r="AH408" s="334"/>
      <c r="AI408" s="283">
        <f>IFERROR(IF(VLOOKUP(功能_33[[#This Row],[功能代號]],E:S,11,FALSE)=0,"",VLOOKUP(功能_33[[#This Row],[功能代號]],E:S,11,FALSE)),"")</f>
        <v>44533</v>
      </c>
      <c r="AJ408" s="283"/>
      <c r="AK408" s="283"/>
      <c r="AL408" s="276"/>
      <c r="AM408" s="283"/>
      <c r="AN408" s="275" t="s">
        <v>176</v>
      </c>
      <c r="AQ408" s="507" t="str">
        <f t="shared" si="48"/>
        <v>8-2</v>
      </c>
      <c r="AR408" s="509" t="str">
        <f t="shared" si="49"/>
        <v/>
      </c>
      <c r="AS408" s="511" t="str">
        <f t="shared" si="50"/>
        <v/>
      </c>
      <c r="AT408" s="513" t="str">
        <f t="shared" si="51"/>
        <v/>
      </c>
      <c r="AU408" s="515" t="str">
        <f t="shared" si="52"/>
        <v/>
      </c>
      <c r="AV408" s="517" t="str">
        <f t="shared" si="53"/>
        <v/>
      </c>
      <c r="AW408" s="589" t="str">
        <f>IFERROR(VLOOKUP(功能_33[[#This Row],[功能代號]],SIT_FT!D:D,1,FALSE),"")</f>
        <v>L8924</v>
      </c>
    </row>
    <row r="409" spans="1:49" ht="13.5" hidden="1" x14ac:dyDescent="0.3">
      <c r="C409" s="276" t="s">
        <v>84</v>
      </c>
      <c r="D409" s="276" t="s">
        <v>922</v>
      </c>
      <c r="E409" s="275" t="s">
        <v>2777</v>
      </c>
      <c r="F409" s="276" t="s">
        <v>2778</v>
      </c>
      <c r="G409" s="276" t="s">
        <v>2779</v>
      </c>
      <c r="H409" s="275" t="s">
        <v>179</v>
      </c>
      <c r="I409" s="275" t="s">
        <v>300</v>
      </c>
      <c r="J409" s="282" t="s">
        <v>2791</v>
      </c>
      <c r="K409" s="283">
        <v>44578</v>
      </c>
      <c r="L409" s="283"/>
      <c r="M409" s="283">
        <v>44498</v>
      </c>
      <c r="N409" s="283">
        <v>44498</v>
      </c>
      <c r="O409" s="283">
        <v>44533</v>
      </c>
      <c r="P409" s="275" t="s">
        <v>7</v>
      </c>
      <c r="Q409" s="275" t="s">
        <v>24</v>
      </c>
      <c r="V409" s="275"/>
      <c r="X409" s="275"/>
      <c r="Y409" s="275"/>
      <c r="Z409" s="276" t="str">
        <f>VLOOKUP(功能_33[[#This Row],[User]],SKL放款!A:G,7,FALSE)</f>
        <v>放款服務課</v>
      </c>
      <c r="AA409" s="283">
        <v>44533</v>
      </c>
      <c r="AB409" s="283" t="s">
        <v>2408</v>
      </c>
      <c r="AC409" s="283">
        <v>44544</v>
      </c>
      <c r="AD409" s="283">
        <v>44544</v>
      </c>
      <c r="AE409" s="283">
        <v>44544</v>
      </c>
      <c r="AF409" s="283"/>
      <c r="AG409" s="283"/>
      <c r="AH409" s="334"/>
      <c r="AI409" s="283">
        <f>IFERROR(IF(VLOOKUP(功能_33[[#This Row],[功能代號]],E:S,11,FALSE)=0,"",VLOOKUP(功能_33[[#This Row],[功能代號]],E:S,11,FALSE)),"")</f>
        <v>44533</v>
      </c>
      <c r="AJ409" s="283"/>
      <c r="AK409" s="283"/>
      <c r="AL409" s="276"/>
      <c r="AM409" s="283"/>
      <c r="AN409" s="275" t="s">
        <v>176</v>
      </c>
      <c r="AQ409" s="507" t="str">
        <f t="shared" si="48"/>
        <v>8-2</v>
      </c>
      <c r="AR409" s="509" t="str">
        <f t="shared" si="49"/>
        <v/>
      </c>
      <c r="AS409" s="511" t="str">
        <f t="shared" si="50"/>
        <v/>
      </c>
      <c r="AT409" s="513" t="str">
        <f t="shared" si="51"/>
        <v/>
      </c>
      <c r="AU409" s="515" t="str">
        <f t="shared" si="52"/>
        <v/>
      </c>
      <c r="AV409" s="517" t="str">
        <f t="shared" si="53"/>
        <v/>
      </c>
      <c r="AW409" s="589" t="str">
        <f>IFERROR(VLOOKUP(功能_33[[#This Row],[功能代號]],SIT_FT!D:D,1,FALSE),"")</f>
        <v>L8925</v>
      </c>
    </row>
    <row r="410" spans="1:49" ht="13.5" hidden="1" x14ac:dyDescent="0.3">
      <c r="C410" s="276" t="s">
        <v>84</v>
      </c>
      <c r="D410" s="276" t="s">
        <v>922</v>
      </c>
      <c r="E410" s="275" t="s">
        <v>931</v>
      </c>
      <c r="F410" s="276" t="s">
        <v>932</v>
      </c>
      <c r="G410" s="276"/>
      <c r="H410" s="275" t="s">
        <v>179</v>
      </c>
      <c r="I410" s="275" t="s">
        <v>300</v>
      </c>
      <c r="J410" s="282" t="s">
        <v>2791</v>
      </c>
      <c r="K410" s="283">
        <v>44578</v>
      </c>
      <c r="L410" s="283"/>
      <c r="M410" s="283">
        <v>44498</v>
      </c>
      <c r="N410" s="283">
        <v>44498</v>
      </c>
      <c r="O410" s="283">
        <v>44537</v>
      </c>
      <c r="P410" s="275" t="s">
        <v>7</v>
      </c>
      <c r="Q410" s="275" t="s">
        <v>24</v>
      </c>
      <c r="V410" s="275"/>
      <c r="X410" s="275"/>
      <c r="Y410" s="275"/>
      <c r="Z410" s="276" t="str">
        <f>VLOOKUP(功能_33[[#This Row],[User]],SKL放款!A:G,7,FALSE)</f>
        <v>放款服務課</v>
      </c>
      <c r="AA410" s="283">
        <v>44537</v>
      </c>
      <c r="AB410" s="283" t="s">
        <v>2408</v>
      </c>
      <c r="AC410" s="215" t="s">
        <v>2696</v>
      </c>
      <c r="AD410" s="283">
        <v>44544</v>
      </c>
      <c r="AE410" s="283">
        <v>44544</v>
      </c>
      <c r="AF410" s="283"/>
      <c r="AG410" s="283"/>
      <c r="AH410" s="334"/>
      <c r="AI410" s="283">
        <f>IFERROR(IF(VLOOKUP(功能_33[[#This Row],[功能代號]],E:S,11,FALSE)=0,"",VLOOKUP(功能_33[[#This Row],[功能代號]],E:S,11,FALSE)),"")</f>
        <v>44537</v>
      </c>
      <c r="AJ410" s="283"/>
      <c r="AK410" s="283"/>
      <c r="AL410" s="276"/>
      <c r="AM410" s="283"/>
      <c r="AN410" s="275" t="s">
        <v>2782</v>
      </c>
      <c r="AO410" s="272" t="s">
        <v>933</v>
      </c>
      <c r="AQ410" s="507" t="str">
        <f t="shared" si="48"/>
        <v>8-2</v>
      </c>
      <c r="AR410" s="509" t="str">
        <f t="shared" si="49"/>
        <v/>
      </c>
      <c r="AS410" s="511" t="str">
        <f t="shared" si="50"/>
        <v/>
      </c>
      <c r="AT410" s="513" t="str">
        <f t="shared" si="51"/>
        <v/>
      </c>
      <c r="AU410" s="515" t="str">
        <f t="shared" si="52"/>
        <v/>
      </c>
      <c r="AV410" s="517" t="str">
        <f t="shared" si="53"/>
        <v/>
      </c>
      <c r="AW410" s="589" t="str">
        <f>IFERROR(VLOOKUP(功能_33[[#This Row],[功能代號]],SIT_FT!D:D,1,FALSE),"")</f>
        <v/>
      </c>
    </row>
    <row r="411" spans="1:49" ht="13.5" hidden="1" x14ac:dyDescent="0.3">
      <c r="C411" s="276" t="s">
        <v>84</v>
      </c>
      <c r="D411" s="276" t="s">
        <v>922</v>
      </c>
      <c r="E411" s="275" t="s">
        <v>934</v>
      </c>
      <c r="F411" s="276" t="s">
        <v>935</v>
      </c>
      <c r="G411" s="276"/>
      <c r="H411" s="275" t="s">
        <v>179</v>
      </c>
      <c r="I411" s="275" t="s">
        <v>300</v>
      </c>
      <c r="J411" s="282" t="s">
        <v>2791</v>
      </c>
      <c r="K411" s="283">
        <v>44578</v>
      </c>
      <c r="L411" s="283"/>
      <c r="M411" s="283">
        <v>44498</v>
      </c>
      <c r="N411" s="283">
        <v>44498</v>
      </c>
      <c r="O411" s="283">
        <v>44498</v>
      </c>
      <c r="P411" s="275" t="s">
        <v>12</v>
      </c>
      <c r="Q411" s="275" t="s">
        <v>11</v>
      </c>
      <c r="V411" s="275"/>
      <c r="X411" s="275"/>
      <c r="Y411" s="275"/>
      <c r="Z411" s="276" t="str">
        <f>VLOOKUP(功能_33[[#This Row],[User]],SKL放款!A:G,7,FALSE)</f>
        <v>放款服務課</v>
      </c>
      <c r="AA411" s="283">
        <v>44533</v>
      </c>
      <c r="AB411" s="283" t="s">
        <v>181</v>
      </c>
      <c r="AC411" s="283">
        <v>44498</v>
      </c>
      <c r="AD411" s="283">
        <v>44544</v>
      </c>
      <c r="AE411" s="283">
        <v>44544</v>
      </c>
      <c r="AF411" s="283"/>
      <c r="AG411" s="283"/>
      <c r="AH411" s="334"/>
      <c r="AI411" s="283">
        <f>IFERROR(IF(VLOOKUP(功能_33[[#This Row],[功能代號]],E:S,11,FALSE)=0,"",VLOOKUP(功能_33[[#This Row],[功能代號]],E:S,11,FALSE)),"")</f>
        <v>44498</v>
      </c>
      <c r="AJ411" s="283"/>
      <c r="AK411" s="283"/>
      <c r="AL411" s="276"/>
      <c r="AM411" s="283"/>
      <c r="AN411" s="287" t="s">
        <v>936</v>
      </c>
      <c r="AO411" s="288" t="s">
        <v>937</v>
      </c>
      <c r="AQ411" s="507" t="str">
        <f t="shared" si="48"/>
        <v>8-2</v>
      </c>
      <c r="AR411" s="509" t="str">
        <f t="shared" si="49"/>
        <v/>
      </c>
      <c r="AS411" s="511" t="str">
        <f t="shared" si="50"/>
        <v/>
      </c>
      <c r="AT411" s="513" t="str">
        <f t="shared" si="51"/>
        <v/>
      </c>
      <c r="AU411" s="515" t="str">
        <f t="shared" si="52"/>
        <v/>
      </c>
      <c r="AV411" s="517" t="str">
        <f t="shared" si="53"/>
        <v/>
      </c>
      <c r="AW411" s="589" t="str">
        <f>IFERROR(VLOOKUP(功能_33[[#This Row],[功能代號]],SIT_FT!D:D,1,FALSE),"")</f>
        <v/>
      </c>
    </row>
    <row r="412" spans="1:49" ht="13.5" hidden="1" x14ac:dyDescent="0.3">
      <c r="C412" s="276" t="s">
        <v>84</v>
      </c>
      <c r="D412" s="276" t="s">
        <v>922</v>
      </c>
      <c r="E412" s="275" t="s">
        <v>938</v>
      </c>
      <c r="F412" s="276" t="s">
        <v>937</v>
      </c>
      <c r="G412" s="276"/>
      <c r="H412" s="275" t="s">
        <v>179</v>
      </c>
      <c r="I412" s="275" t="s">
        <v>300</v>
      </c>
      <c r="J412" s="282" t="s">
        <v>2791</v>
      </c>
      <c r="K412" s="283">
        <v>44578</v>
      </c>
      <c r="L412" s="283"/>
      <c r="M412" s="283">
        <v>44498</v>
      </c>
      <c r="N412" s="283">
        <v>44498</v>
      </c>
      <c r="O412" s="283">
        <v>44533</v>
      </c>
      <c r="P412" s="275" t="s">
        <v>12</v>
      </c>
      <c r="Q412" s="275" t="s">
        <v>24</v>
      </c>
      <c r="V412" s="275"/>
      <c r="X412" s="275"/>
      <c r="Y412" s="275"/>
      <c r="Z412" s="276" t="str">
        <f>VLOOKUP(功能_33[[#This Row],[User]],SKL放款!A:G,7,FALSE)</f>
        <v>放款服務課</v>
      </c>
      <c r="AA412" s="283">
        <v>44533</v>
      </c>
      <c r="AB412" s="283" t="s">
        <v>2408</v>
      </c>
      <c r="AC412" s="215" t="s">
        <v>2696</v>
      </c>
      <c r="AD412" s="283">
        <v>44544</v>
      </c>
      <c r="AE412" s="283">
        <v>44544</v>
      </c>
      <c r="AF412" s="283"/>
      <c r="AG412" s="283"/>
      <c r="AH412" s="334"/>
      <c r="AI412" s="283">
        <f>IFERROR(IF(VLOOKUP(功能_33[[#This Row],[功能代號]],E:S,11,FALSE)=0,"",VLOOKUP(功能_33[[#This Row],[功能代號]],E:S,11,FALSE)),"")</f>
        <v>44533</v>
      </c>
      <c r="AJ412" s="283"/>
      <c r="AK412" s="283"/>
      <c r="AL412" s="276"/>
      <c r="AM412" s="283"/>
      <c r="AN412" s="287" t="s">
        <v>936</v>
      </c>
      <c r="AO412" s="288" t="s">
        <v>937</v>
      </c>
      <c r="AQ412" s="507" t="str">
        <f t="shared" si="48"/>
        <v>8-2</v>
      </c>
      <c r="AR412" s="509" t="str">
        <f t="shared" si="49"/>
        <v/>
      </c>
      <c r="AS412" s="511" t="str">
        <f t="shared" si="50"/>
        <v/>
      </c>
      <c r="AT412" s="513" t="str">
        <f t="shared" si="51"/>
        <v/>
      </c>
      <c r="AU412" s="515" t="str">
        <f t="shared" si="52"/>
        <v/>
      </c>
      <c r="AV412" s="517" t="str">
        <f t="shared" si="53"/>
        <v/>
      </c>
      <c r="AW412" s="589" t="str">
        <f>IFERROR(VLOOKUP(功能_33[[#This Row],[功能代號]],SIT_FT!D:D,1,FALSE),"")</f>
        <v/>
      </c>
    </row>
    <row r="413" spans="1:49" ht="13.5" hidden="1" x14ac:dyDescent="0.3">
      <c r="C413" s="276" t="s">
        <v>84</v>
      </c>
      <c r="D413" s="276" t="s">
        <v>922</v>
      </c>
      <c r="E413" s="275" t="s">
        <v>939</v>
      </c>
      <c r="F413" s="276" t="s">
        <v>940</v>
      </c>
      <c r="G413" s="276"/>
      <c r="H413" s="275" t="s">
        <v>179</v>
      </c>
      <c r="I413" s="275" t="s">
        <v>300</v>
      </c>
      <c r="J413" s="282" t="s">
        <v>2791</v>
      </c>
      <c r="K413" s="283">
        <v>44578</v>
      </c>
      <c r="L413" s="283"/>
      <c r="M413" s="283">
        <v>44498</v>
      </c>
      <c r="N413" s="283">
        <v>44498</v>
      </c>
      <c r="O413" s="283">
        <v>44533</v>
      </c>
      <c r="P413" s="275" t="s">
        <v>12</v>
      </c>
      <c r="Q413" s="275" t="s">
        <v>11</v>
      </c>
      <c r="V413" s="275"/>
      <c r="X413" s="275"/>
      <c r="Y413" s="275"/>
      <c r="Z413" s="276" t="str">
        <f>VLOOKUP(功能_33[[#This Row],[User]],SKL放款!A:G,7,FALSE)</f>
        <v>放款服務課</v>
      </c>
      <c r="AA413" s="283">
        <v>44533</v>
      </c>
      <c r="AB413" s="283" t="s">
        <v>2408</v>
      </c>
      <c r="AC413" s="283" t="s">
        <v>2605</v>
      </c>
      <c r="AD413" s="283">
        <v>44544</v>
      </c>
      <c r="AE413" s="283">
        <v>44544</v>
      </c>
      <c r="AF413" s="283"/>
      <c r="AG413" s="283"/>
      <c r="AH413" s="334"/>
      <c r="AI413" s="283">
        <f>IFERROR(IF(VLOOKUP(功能_33[[#This Row],[功能代號]],E:S,11,FALSE)=0,"",VLOOKUP(功能_33[[#This Row],[功能代號]],E:S,11,FALSE)),"")</f>
        <v>44533</v>
      </c>
      <c r="AJ413" s="283"/>
      <c r="AK413" s="283"/>
      <c r="AL413" s="276"/>
      <c r="AM413" s="283"/>
      <c r="AN413" s="287" t="s">
        <v>941</v>
      </c>
      <c r="AO413" s="288" t="s">
        <v>942</v>
      </c>
      <c r="AQ413" s="507" t="str">
        <f t="shared" si="48"/>
        <v>8-2</v>
      </c>
      <c r="AR413" s="509" t="str">
        <f t="shared" si="49"/>
        <v/>
      </c>
      <c r="AS413" s="511" t="str">
        <f t="shared" si="50"/>
        <v/>
      </c>
      <c r="AT413" s="513" t="str">
        <f t="shared" si="51"/>
        <v/>
      </c>
      <c r="AU413" s="515" t="str">
        <f t="shared" si="52"/>
        <v/>
      </c>
      <c r="AV413" s="517" t="str">
        <f t="shared" si="53"/>
        <v/>
      </c>
      <c r="AW413" s="589" t="str">
        <f>IFERROR(VLOOKUP(功能_33[[#This Row],[功能代號]],SIT_FT!D:D,1,FALSE),"")</f>
        <v>L8923</v>
      </c>
    </row>
    <row r="414" spans="1:49" ht="13.5" hidden="1" x14ac:dyDescent="0.3">
      <c r="C414" s="276" t="s">
        <v>84</v>
      </c>
      <c r="D414" s="276" t="s">
        <v>922</v>
      </c>
      <c r="E414" s="275" t="s">
        <v>943</v>
      </c>
      <c r="F414" s="276" t="s">
        <v>944</v>
      </c>
      <c r="G414" s="276"/>
      <c r="H414" s="275" t="s">
        <v>179</v>
      </c>
      <c r="I414" s="275" t="s">
        <v>300</v>
      </c>
      <c r="J414" s="282" t="s">
        <v>2791</v>
      </c>
      <c r="K414" s="283">
        <v>44578</v>
      </c>
      <c r="L414" s="283"/>
      <c r="M414" s="283">
        <v>44498</v>
      </c>
      <c r="N414" s="283">
        <v>44498</v>
      </c>
      <c r="O414" s="283">
        <v>44533</v>
      </c>
      <c r="P414" s="275" t="s">
        <v>12</v>
      </c>
      <c r="Q414" s="275" t="s">
        <v>158</v>
      </c>
      <c r="R414" s="258" t="s">
        <v>14</v>
      </c>
      <c r="V414" s="275"/>
      <c r="X414" s="275"/>
      <c r="Y414" s="275"/>
      <c r="Z414" s="276" t="str">
        <f>VLOOKUP(功能_33[[#This Row],[User]],SKL放款!A:G,7,FALSE)</f>
        <v>放款服務課</v>
      </c>
      <c r="AA414" s="283">
        <v>44533</v>
      </c>
      <c r="AB414" s="283" t="s">
        <v>119</v>
      </c>
      <c r="AC414" s="283" t="s">
        <v>2605</v>
      </c>
      <c r="AD414" s="283">
        <v>44544</v>
      </c>
      <c r="AE414" s="283">
        <v>44544</v>
      </c>
      <c r="AF414" s="283"/>
      <c r="AG414" s="283"/>
      <c r="AH414" s="334"/>
      <c r="AI414" s="283">
        <f>IFERROR(IF(VLOOKUP(功能_33[[#This Row],[功能代號]],E:S,11,FALSE)=0,"",VLOOKUP(功能_33[[#This Row],[功能代號]],E:S,11,FALSE)),"")</f>
        <v>44533</v>
      </c>
      <c r="AJ414" s="283"/>
      <c r="AK414" s="283"/>
      <c r="AL414" s="276"/>
      <c r="AM414" s="283">
        <v>44482</v>
      </c>
      <c r="AN414" s="287" t="s">
        <v>941</v>
      </c>
      <c r="AO414" s="288" t="s">
        <v>942</v>
      </c>
      <c r="AQ414" s="507" t="str">
        <f t="shared" si="48"/>
        <v>8-2</v>
      </c>
      <c r="AR414" s="509" t="str">
        <f t="shared" si="49"/>
        <v/>
      </c>
      <c r="AS414" s="511" t="str">
        <f t="shared" si="50"/>
        <v/>
      </c>
      <c r="AT414" s="513" t="str">
        <f t="shared" si="51"/>
        <v/>
      </c>
      <c r="AU414" s="515" t="str">
        <f t="shared" si="52"/>
        <v/>
      </c>
      <c r="AV414" s="517" t="str">
        <f t="shared" si="53"/>
        <v/>
      </c>
      <c r="AW414" s="589" t="str">
        <f>IFERROR(VLOOKUP(功能_33[[#This Row],[功能代號]],SIT_FT!D:D,1,FALSE),"")</f>
        <v>L8204</v>
      </c>
    </row>
    <row r="415" spans="1:49" ht="13.5" hidden="1" x14ac:dyDescent="0.3">
      <c r="C415" s="276" t="s">
        <v>84</v>
      </c>
      <c r="D415" s="276" t="s">
        <v>922</v>
      </c>
      <c r="E415" s="275" t="s">
        <v>2490</v>
      </c>
      <c r="F415" s="276" t="s">
        <v>2491</v>
      </c>
      <c r="G415" s="276" t="s">
        <v>2492</v>
      </c>
      <c r="H415" s="275" t="s">
        <v>179</v>
      </c>
      <c r="I415" s="275" t="s">
        <v>300</v>
      </c>
      <c r="J415" s="282" t="s">
        <v>2791</v>
      </c>
      <c r="K415" s="283">
        <v>44578</v>
      </c>
      <c r="L415" s="283"/>
      <c r="M415" s="283">
        <v>44498</v>
      </c>
      <c r="N415" s="283">
        <v>44498</v>
      </c>
      <c r="O415" s="283">
        <v>44533</v>
      </c>
      <c r="P415" s="275" t="s">
        <v>12</v>
      </c>
      <c r="Q415" s="275" t="s">
        <v>158</v>
      </c>
      <c r="R415" s="258" t="s">
        <v>14</v>
      </c>
      <c r="V415" s="275"/>
      <c r="X415" s="275"/>
      <c r="Y415" s="275"/>
      <c r="Z415" s="276" t="str">
        <f>VLOOKUP(功能_33[[#This Row],[User]],SKL放款!A:G,7,FALSE)</f>
        <v>放款服務課</v>
      </c>
      <c r="AA415" s="283">
        <v>44533</v>
      </c>
      <c r="AB415" s="283" t="s">
        <v>2460</v>
      </c>
      <c r="AC415" s="283" t="s">
        <v>2605</v>
      </c>
      <c r="AD415" s="283">
        <v>44544</v>
      </c>
      <c r="AE415" s="283">
        <v>44544</v>
      </c>
      <c r="AF415" s="283"/>
      <c r="AG415" s="283"/>
      <c r="AH415" s="334"/>
      <c r="AI415" s="283">
        <f>IFERROR(IF(VLOOKUP(功能_33[[#This Row],[功能代號]],E:S,11,FALSE)=0,"",VLOOKUP(功能_33[[#This Row],[功能代號]],E:S,11,FALSE)),"")</f>
        <v>44533</v>
      </c>
      <c r="AJ415" s="283"/>
      <c r="AK415" s="283"/>
      <c r="AL415" s="276"/>
      <c r="AM415" s="283">
        <v>44482</v>
      </c>
      <c r="AN415" s="287" t="s">
        <v>941</v>
      </c>
      <c r="AO415" s="288" t="s">
        <v>942</v>
      </c>
      <c r="AQ415" s="507" t="str">
        <f t="shared" si="48"/>
        <v>8-2</v>
      </c>
      <c r="AR415" s="509" t="str">
        <f t="shared" si="49"/>
        <v/>
      </c>
      <c r="AS415" s="511" t="str">
        <f t="shared" si="50"/>
        <v/>
      </c>
      <c r="AT415" s="513" t="str">
        <f t="shared" si="51"/>
        <v/>
      </c>
      <c r="AU415" s="515" t="str">
        <f t="shared" si="52"/>
        <v/>
      </c>
      <c r="AV415" s="517" t="str">
        <f t="shared" si="53"/>
        <v/>
      </c>
      <c r="AW415" s="589" t="str">
        <f>IFERROR(VLOOKUP(功能_33[[#This Row],[功能代號]],SIT_FT!D:D,1,FALSE),"")</f>
        <v/>
      </c>
    </row>
    <row r="416" spans="1:49" ht="13.5" hidden="1" x14ac:dyDescent="0.3">
      <c r="C416" s="276" t="s">
        <v>84</v>
      </c>
      <c r="D416" s="276" t="s">
        <v>2797</v>
      </c>
      <c r="E416" s="275" t="s">
        <v>919</v>
      </c>
      <c r="F416" s="276" t="s">
        <v>920</v>
      </c>
      <c r="G416" s="276"/>
      <c r="H416" s="275" t="s">
        <v>179</v>
      </c>
      <c r="I416" s="275" t="s">
        <v>300</v>
      </c>
      <c r="J416" s="282" t="s">
        <v>2791</v>
      </c>
      <c r="K416" s="283">
        <v>44579</v>
      </c>
      <c r="L416" s="283"/>
      <c r="M416" s="283">
        <v>44503</v>
      </c>
      <c r="N416" s="283">
        <v>44503</v>
      </c>
      <c r="O416" s="283">
        <v>44533</v>
      </c>
      <c r="P416" s="275" t="s">
        <v>7</v>
      </c>
      <c r="Q416" s="275" t="s">
        <v>22</v>
      </c>
      <c r="V416" s="275"/>
      <c r="X416" s="275"/>
      <c r="Y416" s="275"/>
      <c r="Z416" s="276" t="str">
        <f>VLOOKUP(功能_33[[#This Row],[User]],SKL放款!A:G,7,FALSE)</f>
        <v>放款服務課</v>
      </c>
      <c r="AA416" s="283">
        <v>44533</v>
      </c>
      <c r="AB416" s="283" t="s">
        <v>2408</v>
      </c>
      <c r="AC416" s="268">
        <v>44543</v>
      </c>
      <c r="AD416" s="283">
        <v>44543</v>
      </c>
      <c r="AE416" s="283">
        <v>44544</v>
      </c>
      <c r="AF416" s="283"/>
      <c r="AG416" s="283"/>
      <c r="AH416" s="334"/>
      <c r="AI416" s="283">
        <f>IFERROR(IF(VLOOKUP(功能_33[[#This Row],[功能代號]],E:S,11,FALSE)=0,"",VLOOKUP(功能_33[[#This Row],[功能代號]],E:S,11,FALSE)),"")</f>
        <v>44533</v>
      </c>
      <c r="AJ416" s="283"/>
      <c r="AK416" s="283"/>
      <c r="AL416" s="276"/>
      <c r="AM416" s="283"/>
      <c r="AN416" s="558" t="s">
        <v>2781</v>
      </c>
      <c r="AO416" s="276" t="s">
        <v>921</v>
      </c>
      <c r="AQ416" s="507" t="str">
        <f t="shared" si="48"/>
        <v>8-7</v>
      </c>
      <c r="AR416" s="509" t="str">
        <f t="shared" si="49"/>
        <v/>
      </c>
      <c r="AS416" s="511" t="str">
        <f t="shared" si="50"/>
        <v/>
      </c>
      <c r="AT416" s="513" t="str">
        <f t="shared" si="51"/>
        <v/>
      </c>
      <c r="AU416" s="515" t="str">
        <f t="shared" si="52"/>
        <v/>
      </c>
      <c r="AV416" s="517" t="str">
        <f t="shared" si="53"/>
        <v/>
      </c>
      <c r="AW416" s="589" t="str">
        <f>IFERROR(VLOOKUP(功能_33[[#This Row],[功能代號]],SIT_FT!D:D,1,FALSE),"")</f>
        <v/>
      </c>
    </row>
    <row r="417" spans="3:49" ht="13.5" hidden="1" x14ac:dyDescent="0.3">
      <c r="C417" s="276" t="s">
        <v>85</v>
      </c>
      <c r="D417" s="276" t="s">
        <v>2476</v>
      </c>
      <c r="E417" s="275" t="s">
        <v>298</v>
      </c>
      <c r="F417" s="276" t="s">
        <v>299</v>
      </c>
      <c r="G417" s="276"/>
      <c r="H417" s="275" t="s">
        <v>179</v>
      </c>
      <c r="I417" s="275" t="s">
        <v>300</v>
      </c>
      <c r="J417" s="218" t="s">
        <v>2799</v>
      </c>
      <c r="K417" s="283">
        <v>44579</v>
      </c>
      <c r="L417" s="275"/>
      <c r="M417" s="283">
        <v>44438</v>
      </c>
      <c r="N417" s="283">
        <v>44435</v>
      </c>
      <c r="O417" s="283">
        <v>44445</v>
      </c>
      <c r="P417" s="275" t="s">
        <v>8</v>
      </c>
      <c r="Q417" s="275" t="s">
        <v>158</v>
      </c>
      <c r="R417" s="258" t="s">
        <v>301</v>
      </c>
      <c r="V417" s="275"/>
      <c r="X417" s="275"/>
      <c r="Y417" s="275"/>
      <c r="Z417" s="276" t="str">
        <f>VLOOKUP(功能_33[[#This Row],[User]],SKL放款!A:G,7,FALSE)</f>
        <v>放款服務課</v>
      </c>
      <c r="AA417" s="283">
        <v>44445</v>
      </c>
      <c r="AB417" s="283" t="s">
        <v>119</v>
      </c>
      <c r="AC417" s="283">
        <v>44544</v>
      </c>
      <c r="AD417" s="283">
        <v>44544</v>
      </c>
      <c r="AE417" s="283">
        <v>44544</v>
      </c>
      <c r="AF417" s="283"/>
      <c r="AG417" s="283"/>
      <c r="AH417" s="334"/>
      <c r="AI417" s="283">
        <f>IFERROR(IF(VLOOKUP(功能_33[[#This Row],[功能代號]],E:S,11,FALSE)=0,"",VLOOKUP(功能_33[[#This Row],[功能代號]],E:S,11,FALSE)),"")</f>
        <v>44445</v>
      </c>
      <c r="AJ417" s="283"/>
      <c r="AK417" s="283"/>
      <c r="AL417" s="276"/>
      <c r="AM417" s="276"/>
      <c r="AN417" s="287" t="s">
        <v>302</v>
      </c>
      <c r="AO417" s="288" t="s">
        <v>303</v>
      </c>
      <c r="AQ417" s="507" t="str">
        <f t="shared" si="48"/>
        <v>9-9</v>
      </c>
      <c r="AR417" s="509" t="str">
        <f t="shared" si="49"/>
        <v/>
      </c>
      <c r="AS417" s="511" t="str">
        <f t="shared" si="50"/>
        <v/>
      </c>
      <c r="AT417" s="513" t="str">
        <f t="shared" si="51"/>
        <v/>
      </c>
      <c r="AU417" s="515" t="str">
        <f t="shared" si="52"/>
        <v/>
      </c>
      <c r="AV417" s="517" t="str">
        <f t="shared" si="53"/>
        <v/>
      </c>
      <c r="AW417" s="589" t="str">
        <f>IFERROR(VLOOKUP(功能_33[[#This Row],[功能代號]],SIT_FT!D:D,1,FALSE),"")</f>
        <v>L9110</v>
      </c>
    </row>
    <row r="418" spans="3:49" ht="13.5" hidden="1" x14ac:dyDescent="0.3">
      <c r="C418" s="276" t="s">
        <v>84</v>
      </c>
      <c r="D418" s="276" t="s">
        <v>2494</v>
      </c>
      <c r="E418" s="275" t="s">
        <v>1117</v>
      </c>
      <c r="F418" s="276" t="s">
        <v>1118</v>
      </c>
      <c r="G418" s="276" t="s">
        <v>1119</v>
      </c>
      <c r="H418" s="275" t="s">
        <v>122</v>
      </c>
      <c r="I418" s="275" t="s">
        <v>123</v>
      </c>
      <c r="J418" s="282" t="s">
        <v>2979</v>
      </c>
      <c r="K418" s="283">
        <v>44575</v>
      </c>
      <c r="L418" s="283"/>
      <c r="M418" s="283">
        <v>44515</v>
      </c>
      <c r="N418" s="283">
        <v>44517</v>
      </c>
      <c r="O418" s="283">
        <v>44533</v>
      </c>
      <c r="P418" s="275" t="s">
        <v>7</v>
      </c>
      <c r="Q418" s="275" t="s">
        <v>25</v>
      </c>
      <c r="V418" s="275"/>
      <c r="X418" s="275"/>
      <c r="Y418" s="275"/>
      <c r="Z418" s="276" t="str">
        <f>VLOOKUP(功能_33[[#This Row],[User]],SKL放款!A:G,7,FALSE)</f>
        <v>放款管理課</v>
      </c>
      <c r="AA418" s="283">
        <v>44533</v>
      </c>
      <c r="AB418" s="283" t="s">
        <v>119</v>
      </c>
      <c r="AC418" s="283">
        <v>44540</v>
      </c>
      <c r="AD418" s="283">
        <v>44540</v>
      </c>
      <c r="AE418" s="215" t="s">
        <v>3008</v>
      </c>
      <c r="AF418" s="283"/>
      <c r="AG418" s="283"/>
      <c r="AH418" s="334"/>
      <c r="AI418" s="283">
        <f>IFERROR(IF(VLOOKUP(功能_33[[#This Row],[功能代號]],E:S,11,FALSE)=0,"",VLOOKUP(功能_33[[#This Row],[功能代號]],E:S,11,FALSE)),"")</f>
        <v>44533</v>
      </c>
      <c r="AJ418" s="283"/>
      <c r="AK418" s="283"/>
      <c r="AL418" s="276"/>
      <c r="AN418" s="275" t="s">
        <v>2700</v>
      </c>
      <c r="AO418" s="276" t="s">
        <v>2811</v>
      </c>
      <c r="AQ418" s="507" t="str">
        <f t="shared" ref="AQ418:AQ456" si="60">IF(COUNTA(AE418)=1,LEFT(D418,3),"")</f>
        <v>8-3</v>
      </c>
      <c r="AR418" s="509" t="str">
        <f t="shared" ref="AR418:AR456" si="61">IF(AND(COUNTA(N418)=1,COUNTA(O418)=1,COUNTA(AA418)=1,COUNTA(AD418)=1,COUNTA(AE418)=0),LEFT(D418,3),"")</f>
        <v/>
      </c>
      <c r="AS418" s="511" t="str">
        <f t="shared" ref="AS418:AS456" si="62">IF(AND(COUNTA(N418)=1,COUNTA(O418)=1,COUNTA(AA418)=1,COUNTA(AD418)=0,COUNTA(AE418)=0),LEFT(D418,3),"")</f>
        <v/>
      </c>
      <c r="AT418" s="513" t="str">
        <f t="shared" ref="AT418:AT456" si="63">IF(AND(COUNTA(O418)=0,COUNTA(AA418)=1),LEFT(D418,3),"")</f>
        <v/>
      </c>
      <c r="AU418" s="515" t="str">
        <f t="shared" ref="AU418:AU456" si="64">IF(AND(COUNTA(O418)=1,COUNTA(AA418)=0),LEFT(D418,3),"")</f>
        <v/>
      </c>
      <c r="AV418" s="517" t="str">
        <f t="shared" ref="AV418:AV456" si="65">IF(AND(COUNTA(O418)=0,COUNTA(AA418)=0),LEFT(D418,3),"")</f>
        <v/>
      </c>
      <c r="AW418" s="589" t="str">
        <f>IFERROR(VLOOKUP(功能_33[[#This Row],[功能代號]],SIT_FT!D:D,1,FALSE),"")</f>
        <v/>
      </c>
    </row>
    <row r="419" spans="3:49" ht="13.5" hidden="1" x14ac:dyDescent="0.3">
      <c r="C419" s="276" t="s">
        <v>84</v>
      </c>
      <c r="D419" s="276" t="s">
        <v>2494</v>
      </c>
      <c r="E419" s="275" t="s">
        <v>1120</v>
      </c>
      <c r="F419" s="276" t="s">
        <v>1121</v>
      </c>
      <c r="G419" s="276" t="s">
        <v>1119</v>
      </c>
      <c r="H419" s="275" t="s">
        <v>122</v>
      </c>
      <c r="I419" s="275" t="s">
        <v>123</v>
      </c>
      <c r="J419" s="282" t="s">
        <v>2979</v>
      </c>
      <c r="K419" s="283">
        <v>44575</v>
      </c>
      <c r="L419" s="283"/>
      <c r="M419" s="283">
        <v>44515</v>
      </c>
      <c r="N419" s="283">
        <v>44517</v>
      </c>
      <c r="O419" s="283">
        <v>44536</v>
      </c>
      <c r="P419" s="275" t="s">
        <v>7</v>
      </c>
      <c r="Q419" s="275" t="s">
        <v>25</v>
      </c>
      <c r="V419" s="275"/>
      <c r="X419" s="275"/>
      <c r="Y419" s="275"/>
      <c r="Z419" s="276" t="str">
        <f>VLOOKUP(功能_33[[#This Row],[User]],SKL放款!A:G,7,FALSE)</f>
        <v>放款管理課</v>
      </c>
      <c r="AA419" s="283">
        <v>44533</v>
      </c>
      <c r="AB419" s="283" t="s">
        <v>181</v>
      </c>
      <c r="AC419" s="283">
        <v>44540</v>
      </c>
      <c r="AD419" s="283">
        <v>44540</v>
      </c>
      <c r="AE419" s="215" t="s">
        <v>3008</v>
      </c>
      <c r="AF419" s="283"/>
      <c r="AG419" s="283"/>
      <c r="AH419" s="334"/>
      <c r="AI419" s="283">
        <f>IFERROR(IF(VLOOKUP(功能_33[[#This Row],[功能代號]],E:S,11,FALSE)=0,"",VLOOKUP(功能_33[[#This Row],[功能代號]],E:S,11,FALSE)),"")</f>
        <v>44536</v>
      </c>
      <c r="AJ419" s="283"/>
      <c r="AK419" s="283"/>
      <c r="AL419" s="276"/>
      <c r="AN419" s="275" t="s">
        <v>2623</v>
      </c>
      <c r="AQ419" s="507" t="str">
        <f t="shared" si="60"/>
        <v>8-3</v>
      </c>
      <c r="AR419" s="509" t="str">
        <f t="shared" si="61"/>
        <v/>
      </c>
      <c r="AS419" s="511" t="str">
        <f t="shared" si="62"/>
        <v/>
      </c>
      <c r="AT419" s="513" t="str">
        <f t="shared" si="63"/>
        <v/>
      </c>
      <c r="AU419" s="515" t="str">
        <f t="shared" si="64"/>
        <v/>
      </c>
      <c r="AV419" s="517" t="str">
        <f t="shared" si="65"/>
        <v/>
      </c>
      <c r="AW419" s="589" t="str">
        <f>IFERROR(VLOOKUP(功能_33[[#This Row],[功能代號]],SIT_FT!D:D,1,FALSE),"")</f>
        <v/>
      </c>
    </row>
    <row r="420" spans="3:49" ht="13.5" hidden="1" x14ac:dyDescent="0.3">
      <c r="C420" s="276" t="s">
        <v>84</v>
      </c>
      <c r="D420" s="276" t="s">
        <v>2494</v>
      </c>
      <c r="E420" s="275" t="s">
        <v>1122</v>
      </c>
      <c r="F420" s="276" t="s">
        <v>1123</v>
      </c>
      <c r="G420" s="276" t="s">
        <v>1119</v>
      </c>
      <c r="H420" s="275" t="s">
        <v>122</v>
      </c>
      <c r="I420" s="275" t="s">
        <v>123</v>
      </c>
      <c r="J420" s="282" t="s">
        <v>2979</v>
      </c>
      <c r="K420" s="283">
        <v>44575</v>
      </c>
      <c r="L420" s="283"/>
      <c r="M420" s="283">
        <v>44515</v>
      </c>
      <c r="N420" s="283">
        <v>44517</v>
      </c>
      <c r="O420" s="283">
        <v>44533</v>
      </c>
      <c r="P420" s="275" t="s">
        <v>7</v>
      </c>
      <c r="Q420" s="275" t="s">
        <v>25</v>
      </c>
      <c r="V420" s="275"/>
      <c r="X420" s="275"/>
      <c r="Y420" s="275"/>
      <c r="Z420" s="276" t="str">
        <f>VLOOKUP(功能_33[[#This Row],[User]],SKL放款!A:G,7,FALSE)</f>
        <v>放款管理課</v>
      </c>
      <c r="AA420" s="283">
        <v>44533</v>
      </c>
      <c r="AB420" s="283" t="s">
        <v>119</v>
      </c>
      <c r="AC420" s="283">
        <v>44540</v>
      </c>
      <c r="AD420" s="283">
        <v>44540</v>
      </c>
      <c r="AE420" s="215" t="s">
        <v>3008</v>
      </c>
      <c r="AF420" s="283"/>
      <c r="AG420" s="283"/>
      <c r="AH420" s="334"/>
      <c r="AI420" s="283">
        <f>IFERROR(IF(VLOOKUP(功能_33[[#This Row],[功能代號]],E:S,11,FALSE)=0,"",VLOOKUP(功能_33[[#This Row],[功能代號]],E:S,11,FALSE)),"")</f>
        <v>44533</v>
      </c>
      <c r="AJ420" s="283"/>
      <c r="AK420" s="283"/>
      <c r="AL420" s="276"/>
      <c r="AN420" s="275" t="s">
        <v>2623</v>
      </c>
      <c r="AQ420" s="507" t="str">
        <f t="shared" si="60"/>
        <v>8-3</v>
      </c>
      <c r="AR420" s="509" t="str">
        <f t="shared" si="61"/>
        <v/>
      </c>
      <c r="AS420" s="511" t="str">
        <f t="shared" si="62"/>
        <v/>
      </c>
      <c r="AT420" s="513" t="str">
        <f t="shared" si="63"/>
        <v/>
      </c>
      <c r="AU420" s="515" t="str">
        <f t="shared" si="64"/>
        <v/>
      </c>
      <c r="AV420" s="517" t="str">
        <f t="shared" si="65"/>
        <v/>
      </c>
      <c r="AW420" s="589" t="str">
        <f>IFERROR(VLOOKUP(功能_33[[#This Row],[功能代號]],SIT_FT!D:D,1,FALSE),"")</f>
        <v/>
      </c>
    </row>
    <row r="421" spans="3:49" ht="13.5" hidden="1" x14ac:dyDescent="0.3">
      <c r="C421" s="276" t="s">
        <v>84</v>
      </c>
      <c r="D421" s="276" t="s">
        <v>2494</v>
      </c>
      <c r="E421" s="275" t="s">
        <v>1124</v>
      </c>
      <c r="F421" s="276" t="s">
        <v>1125</v>
      </c>
      <c r="G421" s="276" t="s">
        <v>1119</v>
      </c>
      <c r="H421" s="275" t="s">
        <v>122</v>
      </c>
      <c r="I421" s="275" t="s">
        <v>123</v>
      </c>
      <c r="J421" s="282" t="s">
        <v>2979</v>
      </c>
      <c r="K421" s="283">
        <v>44575</v>
      </c>
      <c r="L421" s="283"/>
      <c r="M421" s="283">
        <v>44515</v>
      </c>
      <c r="N421" s="283">
        <v>44517</v>
      </c>
      <c r="O421" s="283">
        <v>44536</v>
      </c>
      <c r="P421" s="275" t="s">
        <v>7</v>
      </c>
      <c r="Q421" s="275" t="s">
        <v>25</v>
      </c>
      <c r="V421" s="275"/>
      <c r="X421" s="275"/>
      <c r="Y421" s="275"/>
      <c r="Z421" s="276" t="str">
        <f>VLOOKUP(功能_33[[#This Row],[User]],SKL放款!A:G,7,FALSE)</f>
        <v>放款管理課</v>
      </c>
      <c r="AA421" s="283">
        <v>44533</v>
      </c>
      <c r="AB421" s="283" t="s">
        <v>181</v>
      </c>
      <c r="AC421" s="283">
        <v>44540</v>
      </c>
      <c r="AD421" s="283">
        <v>44540</v>
      </c>
      <c r="AE421" s="215" t="s">
        <v>3008</v>
      </c>
      <c r="AF421" s="283"/>
      <c r="AG421" s="283"/>
      <c r="AH421" s="334"/>
      <c r="AI421" s="283">
        <f>IFERROR(IF(VLOOKUP(功能_33[[#This Row],[功能代號]],E:S,11,FALSE)=0,"",VLOOKUP(功能_33[[#This Row],[功能代號]],E:S,11,FALSE)),"")</f>
        <v>44536</v>
      </c>
      <c r="AJ421" s="283"/>
      <c r="AK421" s="283"/>
      <c r="AL421" s="276"/>
      <c r="AN421" s="275" t="s">
        <v>2623</v>
      </c>
      <c r="AQ421" s="507" t="str">
        <f t="shared" si="60"/>
        <v>8-3</v>
      </c>
      <c r="AR421" s="509" t="str">
        <f t="shared" si="61"/>
        <v/>
      </c>
      <c r="AS421" s="511" t="str">
        <f t="shared" si="62"/>
        <v/>
      </c>
      <c r="AT421" s="513" t="str">
        <f t="shared" si="63"/>
        <v/>
      </c>
      <c r="AU421" s="515" t="str">
        <f t="shared" si="64"/>
        <v/>
      </c>
      <c r="AV421" s="517" t="str">
        <f t="shared" si="65"/>
        <v/>
      </c>
      <c r="AW421" s="589" t="str">
        <f>IFERROR(VLOOKUP(功能_33[[#This Row],[功能代號]],SIT_FT!D:D,1,FALSE),"")</f>
        <v/>
      </c>
    </row>
    <row r="422" spans="3:49" ht="13.5" hidden="1" x14ac:dyDescent="0.3">
      <c r="C422" s="276" t="s">
        <v>84</v>
      </c>
      <c r="D422" s="276" t="s">
        <v>2494</v>
      </c>
      <c r="E422" s="275" t="s">
        <v>1126</v>
      </c>
      <c r="F422" s="276" t="s">
        <v>1127</v>
      </c>
      <c r="G422" s="276" t="s">
        <v>1119</v>
      </c>
      <c r="H422" s="275" t="s">
        <v>122</v>
      </c>
      <c r="I422" s="275" t="s">
        <v>123</v>
      </c>
      <c r="J422" s="282" t="s">
        <v>2979</v>
      </c>
      <c r="K422" s="283">
        <v>44575</v>
      </c>
      <c r="L422" s="283"/>
      <c r="M422" s="283">
        <v>44515</v>
      </c>
      <c r="N422" s="283">
        <v>44517</v>
      </c>
      <c r="O422" s="283">
        <v>44536</v>
      </c>
      <c r="P422" s="275" t="s">
        <v>7</v>
      </c>
      <c r="Q422" s="275" t="s">
        <v>25</v>
      </c>
      <c r="V422" s="275"/>
      <c r="X422" s="275"/>
      <c r="Y422" s="275"/>
      <c r="Z422" s="276" t="str">
        <f>VLOOKUP(功能_33[[#This Row],[User]],SKL放款!A:G,7,FALSE)</f>
        <v>放款管理課</v>
      </c>
      <c r="AA422" s="283">
        <v>44533</v>
      </c>
      <c r="AB422" s="283" t="s">
        <v>181</v>
      </c>
      <c r="AC422" s="283">
        <v>44540</v>
      </c>
      <c r="AD422" s="283">
        <v>44540</v>
      </c>
      <c r="AE422" s="215" t="s">
        <v>3008</v>
      </c>
      <c r="AF422" s="283"/>
      <c r="AG422" s="283"/>
      <c r="AH422" s="334"/>
      <c r="AI422" s="283">
        <f>IFERROR(IF(VLOOKUP(功能_33[[#This Row],[功能代號]],E:S,11,FALSE)=0,"",VLOOKUP(功能_33[[#This Row],[功能代號]],E:S,11,FALSE)),"")</f>
        <v>44536</v>
      </c>
      <c r="AJ422" s="283"/>
      <c r="AK422" s="283"/>
      <c r="AL422" s="276"/>
      <c r="AN422" s="275" t="s">
        <v>2623</v>
      </c>
      <c r="AQ422" s="507" t="str">
        <f t="shared" si="60"/>
        <v>8-3</v>
      </c>
      <c r="AR422" s="509" t="str">
        <f t="shared" si="61"/>
        <v/>
      </c>
      <c r="AS422" s="511" t="str">
        <f t="shared" si="62"/>
        <v/>
      </c>
      <c r="AT422" s="513" t="str">
        <f t="shared" si="63"/>
        <v/>
      </c>
      <c r="AU422" s="515" t="str">
        <f t="shared" si="64"/>
        <v/>
      </c>
      <c r="AV422" s="517" t="str">
        <f t="shared" si="65"/>
        <v/>
      </c>
      <c r="AW422" s="589" t="str">
        <f>IFERROR(VLOOKUP(功能_33[[#This Row],[功能代號]],SIT_FT!D:D,1,FALSE),"")</f>
        <v/>
      </c>
    </row>
    <row r="423" spans="3:49" ht="13.5" hidden="1" x14ac:dyDescent="0.3">
      <c r="C423" s="276" t="s">
        <v>84</v>
      </c>
      <c r="D423" s="276" t="s">
        <v>2494</v>
      </c>
      <c r="E423" s="275" t="s">
        <v>1128</v>
      </c>
      <c r="F423" s="276" t="s">
        <v>1129</v>
      </c>
      <c r="G423" s="276" t="s">
        <v>1119</v>
      </c>
      <c r="H423" s="275" t="s">
        <v>122</v>
      </c>
      <c r="I423" s="275" t="s">
        <v>123</v>
      </c>
      <c r="J423" s="282" t="s">
        <v>2979</v>
      </c>
      <c r="K423" s="283">
        <v>44575</v>
      </c>
      <c r="L423" s="283"/>
      <c r="M423" s="283">
        <v>44515</v>
      </c>
      <c r="N423" s="283">
        <v>44517</v>
      </c>
      <c r="O423" s="283">
        <v>44536</v>
      </c>
      <c r="P423" s="275" t="s">
        <v>7</v>
      </c>
      <c r="Q423" s="275" t="s">
        <v>25</v>
      </c>
      <c r="V423" s="275"/>
      <c r="X423" s="275"/>
      <c r="Y423" s="275"/>
      <c r="Z423" s="276" t="str">
        <f>VLOOKUP(功能_33[[#This Row],[User]],SKL放款!A:G,7,FALSE)</f>
        <v>放款管理課</v>
      </c>
      <c r="AA423" s="283">
        <v>44533</v>
      </c>
      <c r="AB423" s="283" t="s">
        <v>181</v>
      </c>
      <c r="AC423" s="283">
        <v>44540</v>
      </c>
      <c r="AD423" s="283">
        <v>44540</v>
      </c>
      <c r="AE423" s="215" t="s">
        <v>3008</v>
      </c>
      <c r="AF423" s="283"/>
      <c r="AG423" s="283"/>
      <c r="AH423" s="334"/>
      <c r="AI423" s="283">
        <f>IFERROR(IF(VLOOKUP(功能_33[[#This Row],[功能代號]],E:S,11,FALSE)=0,"",VLOOKUP(功能_33[[#This Row],[功能代號]],E:S,11,FALSE)),"")</f>
        <v>44536</v>
      </c>
      <c r="AJ423" s="283"/>
      <c r="AK423" s="283"/>
      <c r="AL423" s="276"/>
      <c r="AN423" s="275" t="s">
        <v>2623</v>
      </c>
      <c r="AQ423" s="507" t="str">
        <f t="shared" si="60"/>
        <v>8-3</v>
      </c>
      <c r="AR423" s="509" t="str">
        <f t="shared" si="61"/>
        <v/>
      </c>
      <c r="AS423" s="511" t="str">
        <f t="shared" si="62"/>
        <v/>
      </c>
      <c r="AT423" s="513" t="str">
        <f t="shared" si="63"/>
        <v/>
      </c>
      <c r="AU423" s="515" t="str">
        <f t="shared" si="64"/>
        <v/>
      </c>
      <c r="AV423" s="517" t="str">
        <f t="shared" si="65"/>
        <v/>
      </c>
      <c r="AW423" s="589" t="str">
        <f>IFERROR(VLOOKUP(功能_33[[#This Row],[功能代號]],SIT_FT!D:D,1,FALSE),"")</f>
        <v/>
      </c>
    </row>
    <row r="424" spans="3:49" ht="13.5" hidden="1" x14ac:dyDescent="0.3">
      <c r="C424" s="276" t="s">
        <v>84</v>
      </c>
      <c r="D424" s="276" t="s">
        <v>2494</v>
      </c>
      <c r="E424" s="275" t="s">
        <v>1130</v>
      </c>
      <c r="F424" s="276" t="s">
        <v>1131</v>
      </c>
      <c r="G424" s="276" t="s">
        <v>1119</v>
      </c>
      <c r="H424" s="275" t="s">
        <v>122</v>
      </c>
      <c r="I424" s="275" t="s">
        <v>123</v>
      </c>
      <c r="J424" s="282" t="s">
        <v>2979</v>
      </c>
      <c r="K424" s="283">
        <v>44575</v>
      </c>
      <c r="L424" s="283"/>
      <c r="M424" s="283">
        <v>44515</v>
      </c>
      <c r="N424" s="283">
        <v>44517</v>
      </c>
      <c r="O424" s="283">
        <v>44536</v>
      </c>
      <c r="P424" s="275" t="s">
        <v>7</v>
      </c>
      <c r="Q424" s="275" t="s">
        <v>25</v>
      </c>
      <c r="V424" s="275"/>
      <c r="X424" s="275"/>
      <c r="Y424" s="275"/>
      <c r="Z424" s="276" t="str">
        <f>VLOOKUP(功能_33[[#This Row],[User]],SKL放款!A:G,7,FALSE)</f>
        <v>放款管理課</v>
      </c>
      <c r="AA424" s="283">
        <v>44533</v>
      </c>
      <c r="AB424" s="283" t="s">
        <v>181</v>
      </c>
      <c r="AC424" s="283">
        <v>44540</v>
      </c>
      <c r="AD424" s="283">
        <v>44540</v>
      </c>
      <c r="AE424" s="215" t="s">
        <v>3008</v>
      </c>
      <c r="AF424" s="283"/>
      <c r="AG424" s="283"/>
      <c r="AH424" s="334"/>
      <c r="AI424" s="283">
        <f>IFERROR(IF(VLOOKUP(功能_33[[#This Row],[功能代號]],E:S,11,FALSE)=0,"",VLOOKUP(功能_33[[#This Row],[功能代號]],E:S,11,FALSE)),"")</f>
        <v>44536</v>
      </c>
      <c r="AJ424" s="283"/>
      <c r="AK424" s="283"/>
      <c r="AL424" s="276"/>
      <c r="AN424" s="275" t="s">
        <v>2623</v>
      </c>
      <c r="AQ424" s="507" t="str">
        <f t="shared" si="60"/>
        <v>8-3</v>
      </c>
      <c r="AR424" s="509" t="str">
        <f t="shared" si="61"/>
        <v/>
      </c>
      <c r="AS424" s="511" t="str">
        <f t="shared" si="62"/>
        <v/>
      </c>
      <c r="AT424" s="513" t="str">
        <f t="shared" si="63"/>
        <v/>
      </c>
      <c r="AU424" s="515" t="str">
        <f t="shared" si="64"/>
        <v/>
      </c>
      <c r="AV424" s="517" t="str">
        <f t="shared" si="65"/>
        <v/>
      </c>
      <c r="AW424" s="589" t="str">
        <f>IFERROR(VLOOKUP(功能_33[[#This Row],[功能代號]],SIT_FT!D:D,1,FALSE),"")</f>
        <v/>
      </c>
    </row>
    <row r="425" spans="3:49" ht="13.5" hidden="1" x14ac:dyDescent="0.3">
      <c r="C425" s="276" t="s">
        <v>84</v>
      </c>
      <c r="D425" s="276" t="s">
        <v>2494</v>
      </c>
      <c r="E425" s="275" t="s">
        <v>1132</v>
      </c>
      <c r="F425" s="276" t="s">
        <v>1133</v>
      </c>
      <c r="G425" s="276" t="s">
        <v>1119</v>
      </c>
      <c r="H425" s="275" t="s">
        <v>122</v>
      </c>
      <c r="I425" s="275" t="s">
        <v>123</v>
      </c>
      <c r="J425" s="282" t="s">
        <v>2979</v>
      </c>
      <c r="K425" s="283">
        <v>44575</v>
      </c>
      <c r="L425" s="283"/>
      <c r="M425" s="283">
        <v>44515</v>
      </c>
      <c r="N425" s="283">
        <v>44517</v>
      </c>
      <c r="O425" s="283">
        <v>44536</v>
      </c>
      <c r="P425" s="275" t="s">
        <v>7</v>
      </c>
      <c r="Q425" s="275" t="s">
        <v>25</v>
      </c>
      <c r="V425" s="275"/>
      <c r="X425" s="275"/>
      <c r="Y425" s="275"/>
      <c r="Z425" s="276" t="str">
        <f>VLOOKUP(功能_33[[#This Row],[User]],SKL放款!A:G,7,FALSE)</f>
        <v>放款管理課</v>
      </c>
      <c r="AA425" s="283">
        <v>44533</v>
      </c>
      <c r="AB425" s="283" t="s">
        <v>181</v>
      </c>
      <c r="AC425" s="283">
        <v>44540</v>
      </c>
      <c r="AD425" s="283">
        <v>44540</v>
      </c>
      <c r="AE425" s="215" t="s">
        <v>3008</v>
      </c>
      <c r="AF425" s="283"/>
      <c r="AG425" s="283"/>
      <c r="AH425" s="334"/>
      <c r="AI425" s="283">
        <f>IFERROR(IF(VLOOKUP(功能_33[[#This Row],[功能代號]],E:S,11,FALSE)=0,"",VLOOKUP(功能_33[[#This Row],[功能代號]],E:S,11,FALSE)),"")</f>
        <v>44536</v>
      </c>
      <c r="AJ425" s="283"/>
      <c r="AK425" s="283"/>
      <c r="AL425" s="276"/>
      <c r="AN425" s="275" t="s">
        <v>2623</v>
      </c>
      <c r="AQ425" s="507" t="str">
        <f t="shared" si="60"/>
        <v>8-3</v>
      </c>
      <c r="AR425" s="509" t="str">
        <f t="shared" si="61"/>
        <v/>
      </c>
      <c r="AS425" s="511" t="str">
        <f t="shared" si="62"/>
        <v/>
      </c>
      <c r="AT425" s="513" t="str">
        <f t="shared" si="63"/>
        <v/>
      </c>
      <c r="AU425" s="515" t="str">
        <f t="shared" si="64"/>
        <v/>
      </c>
      <c r="AV425" s="517" t="str">
        <f t="shared" si="65"/>
        <v/>
      </c>
      <c r="AW425" s="589" t="str">
        <f>IFERROR(VLOOKUP(功能_33[[#This Row],[功能代號]],SIT_FT!D:D,1,FALSE),"")</f>
        <v/>
      </c>
    </row>
    <row r="426" spans="3:49" ht="13.5" hidden="1" x14ac:dyDescent="0.3">
      <c r="C426" s="276" t="s">
        <v>84</v>
      </c>
      <c r="D426" s="276" t="s">
        <v>2494</v>
      </c>
      <c r="E426" s="275" t="s">
        <v>1134</v>
      </c>
      <c r="F426" s="276" t="s">
        <v>1135</v>
      </c>
      <c r="G426" s="276" t="s">
        <v>1119</v>
      </c>
      <c r="H426" s="275" t="s">
        <v>122</v>
      </c>
      <c r="I426" s="275" t="s">
        <v>123</v>
      </c>
      <c r="J426" s="282" t="s">
        <v>2979</v>
      </c>
      <c r="K426" s="283">
        <v>44575</v>
      </c>
      <c r="L426" s="283"/>
      <c r="M426" s="283">
        <v>44515</v>
      </c>
      <c r="N426" s="283">
        <v>44517</v>
      </c>
      <c r="O426" s="283">
        <v>44533</v>
      </c>
      <c r="P426" s="275" t="s">
        <v>7</v>
      </c>
      <c r="Q426" s="275" t="s">
        <v>25</v>
      </c>
      <c r="V426" s="275"/>
      <c r="X426" s="275"/>
      <c r="Y426" s="275"/>
      <c r="Z426" s="276" t="str">
        <f>VLOOKUP(功能_33[[#This Row],[User]],SKL放款!A:G,7,FALSE)</f>
        <v>放款管理課</v>
      </c>
      <c r="AA426" s="283">
        <v>44533</v>
      </c>
      <c r="AB426" s="283" t="s">
        <v>119</v>
      </c>
      <c r="AC426" s="283">
        <v>44540</v>
      </c>
      <c r="AD426" s="283">
        <v>44540</v>
      </c>
      <c r="AE426" s="215" t="s">
        <v>3008</v>
      </c>
      <c r="AF426" s="283"/>
      <c r="AG426" s="283"/>
      <c r="AH426" s="334"/>
      <c r="AI426" s="283">
        <f>IFERROR(IF(VLOOKUP(功能_33[[#This Row],[功能代號]],E:S,11,FALSE)=0,"",VLOOKUP(功能_33[[#This Row],[功能代號]],E:S,11,FALSE)),"")</f>
        <v>44533</v>
      </c>
      <c r="AJ426" s="283"/>
      <c r="AK426" s="283"/>
      <c r="AL426" s="276"/>
      <c r="AN426" s="275" t="s">
        <v>2623</v>
      </c>
      <c r="AQ426" s="507" t="str">
        <f t="shared" si="60"/>
        <v>8-3</v>
      </c>
      <c r="AR426" s="509" t="str">
        <f t="shared" si="61"/>
        <v/>
      </c>
      <c r="AS426" s="511" t="str">
        <f t="shared" si="62"/>
        <v/>
      </c>
      <c r="AT426" s="513" t="str">
        <f t="shared" si="63"/>
        <v/>
      </c>
      <c r="AU426" s="515" t="str">
        <f t="shared" si="64"/>
        <v/>
      </c>
      <c r="AV426" s="517" t="str">
        <f t="shared" si="65"/>
        <v/>
      </c>
      <c r="AW426" s="589" t="str">
        <f>IFERROR(VLOOKUP(功能_33[[#This Row],[功能代號]],SIT_FT!D:D,1,FALSE),"")</f>
        <v/>
      </c>
    </row>
    <row r="427" spans="3:49" ht="13.5" hidden="1" x14ac:dyDescent="0.3">
      <c r="C427" s="276" t="s">
        <v>84</v>
      </c>
      <c r="D427" s="276" t="s">
        <v>2494</v>
      </c>
      <c r="E427" s="275" t="s">
        <v>1136</v>
      </c>
      <c r="F427" s="276" t="s">
        <v>1137</v>
      </c>
      <c r="G427" s="276" t="s">
        <v>1119</v>
      </c>
      <c r="H427" s="275" t="s">
        <v>122</v>
      </c>
      <c r="I427" s="275" t="s">
        <v>123</v>
      </c>
      <c r="J427" s="282" t="s">
        <v>2979</v>
      </c>
      <c r="K427" s="283">
        <v>44575</v>
      </c>
      <c r="L427" s="283"/>
      <c r="M427" s="283">
        <v>44515</v>
      </c>
      <c r="N427" s="283">
        <v>44517</v>
      </c>
      <c r="O427" s="283">
        <v>44533</v>
      </c>
      <c r="P427" s="275" t="s">
        <v>7</v>
      </c>
      <c r="Q427" s="275" t="s">
        <v>25</v>
      </c>
      <c r="V427" s="275"/>
      <c r="X427" s="275"/>
      <c r="Y427" s="275"/>
      <c r="Z427" s="276" t="str">
        <f>VLOOKUP(功能_33[[#This Row],[User]],SKL放款!A:G,7,FALSE)</f>
        <v>放款管理課</v>
      </c>
      <c r="AA427" s="283">
        <v>44533</v>
      </c>
      <c r="AB427" s="283" t="s">
        <v>119</v>
      </c>
      <c r="AC427" s="283">
        <v>44540</v>
      </c>
      <c r="AD427" s="283">
        <v>44540</v>
      </c>
      <c r="AE427" s="215" t="s">
        <v>3008</v>
      </c>
      <c r="AF427" s="283"/>
      <c r="AG427" s="283"/>
      <c r="AH427" s="334"/>
      <c r="AI427" s="283">
        <f>IFERROR(IF(VLOOKUP(功能_33[[#This Row],[功能代號]],E:S,11,FALSE)=0,"",VLOOKUP(功能_33[[#This Row],[功能代號]],E:S,11,FALSE)),"")</f>
        <v>44533</v>
      </c>
      <c r="AJ427" s="283"/>
      <c r="AK427" s="283"/>
      <c r="AL427" s="276"/>
      <c r="AN427" s="275" t="s">
        <v>2623</v>
      </c>
      <c r="AQ427" s="507" t="str">
        <f t="shared" si="60"/>
        <v>8-3</v>
      </c>
      <c r="AR427" s="509" t="str">
        <f t="shared" si="61"/>
        <v/>
      </c>
      <c r="AS427" s="511" t="str">
        <f t="shared" si="62"/>
        <v/>
      </c>
      <c r="AT427" s="513" t="str">
        <f t="shared" si="63"/>
        <v/>
      </c>
      <c r="AU427" s="515" t="str">
        <f t="shared" si="64"/>
        <v/>
      </c>
      <c r="AV427" s="517" t="str">
        <f t="shared" si="65"/>
        <v/>
      </c>
      <c r="AW427" s="589" t="str">
        <f>IFERROR(VLOOKUP(功能_33[[#This Row],[功能代號]],SIT_FT!D:D,1,FALSE),"")</f>
        <v/>
      </c>
    </row>
    <row r="428" spans="3:49" ht="13.5" hidden="1" x14ac:dyDescent="0.3">
      <c r="C428" s="276" t="s">
        <v>84</v>
      </c>
      <c r="D428" s="276" t="s">
        <v>2494</v>
      </c>
      <c r="E428" s="275" t="s">
        <v>1138</v>
      </c>
      <c r="F428" s="276" t="s">
        <v>1139</v>
      </c>
      <c r="G428" s="276" t="s">
        <v>1119</v>
      </c>
      <c r="H428" s="275" t="s">
        <v>122</v>
      </c>
      <c r="I428" s="275" t="s">
        <v>123</v>
      </c>
      <c r="J428" s="282" t="s">
        <v>2979</v>
      </c>
      <c r="K428" s="283">
        <v>44575</v>
      </c>
      <c r="L428" s="283"/>
      <c r="M428" s="283">
        <v>44515</v>
      </c>
      <c r="N428" s="283">
        <v>44517</v>
      </c>
      <c r="O428" s="283">
        <v>44536</v>
      </c>
      <c r="P428" s="275" t="s">
        <v>7</v>
      </c>
      <c r="Q428" s="275" t="s">
        <v>25</v>
      </c>
      <c r="V428" s="275"/>
      <c r="X428" s="275"/>
      <c r="Y428" s="275"/>
      <c r="Z428" s="276" t="str">
        <f>VLOOKUP(功能_33[[#This Row],[User]],SKL放款!A:G,7,FALSE)</f>
        <v>放款管理課</v>
      </c>
      <c r="AA428" s="283">
        <v>44533</v>
      </c>
      <c r="AB428" s="283" t="s">
        <v>181</v>
      </c>
      <c r="AC428" s="283">
        <v>44540</v>
      </c>
      <c r="AD428" s="283">
        <v>44540</v>
      </c>
      <c r="AE428" s="215" t="s">
        <v>3008</v>
      </c>
      <c r="AF428" s="283"/>
      <c r="AG428" s="283"/>
      <c r="AH428" s="334"/>
      <c r="AI428" s="283">
        <f>IFERROR(IF(VLOOKUP(功能_33[[#This Row],[功能代號]],E:S,11,FALSE)=0,"",VLOOKUP(功能_33[[#This Row],[功能代號]],E:S,11,FALSE)),"")</f>
        <v>44536</v>
      </c>
      <c r="AJ428" s="283"/>
      <c r="AK428" s="283"/>
      <c r="AL428" s="276"/>
      <c r="AN428" s="275" t="s">
        <v>2623</v>
      </c>
      <c r="AQ428" s="507" t="str">
        <f t="shared" si="60"/>
        <v>8-3</v>
      </c>
      <c r="AR428" s="509" t="str">
        <f t="shared" si="61"/>
        <v/>
      </c>
      <c r="AS428" s="511" t="str">
        <f t="shared" si="62"/>
        <v/>
      </c>
      <c r="AT428" s="513" t="str">
        <f t="shared" si="63"/>
        <v/>
      </c>
      <c r="AU428" s="515" t="str">
        <f t="shared" si="64"/>
        <v/>
      </c>
      <c r="AV428" s="517" t="str">
        <f t="shared" si="65"/>
        <v/>
      </c>
      <c r="AW428" s="589" t="str">
        <f>IFERROR(VLOOKUP(功能_33[[#This Row],[功能代號]],SIT_FT!D:D,1,FALSE),"")</f>
        <v/>
      </c>
    </row>
    <row r="429" spans="3:49" ht="13.5" hidden="1" x14ac:dyDescent="0.3">
      <c r="C429" s="276" t="s">
        <v>84</v>
      </c>
      <c r="D429" s="276" t="s">
        <v>2494</v>
      </c>
      <c r="E429" s="275" t="s">
        <v>1140</v>
      </c>
      <c r="F429" s="276" t="s">
        <v>1141</v>
      </c>
      <c r="G429" s="276" t="s">
        <v>1119</v>
      </c>
      <c r="H429" s="275" t="s">
        <v>122</v>
      </c>
      <c r="I429" s="275" t="s">
        <v>123</v>
      </c>
      <c r="J429" s="282" t="s">
        <v>2979</v>
      </c>
      <c r="K429" s="283">
        <v>44575</v>
      </c>
      <c r="L429" s="283"/>
      <c r="M429" s="283">
        <v>44516</v>
      </c>
      <c r="N429" s="283">
        <v>44517</v>
      </c>
      <c r="O429" s="283">
        <v>44536</v>
      </c>
      <c r="P429" s="275" t="s">
        <v>7</v>
      </c>
      <c r="Q429" s="275" t="s">
        <v>25</v>
      </c>
      <c r="V429" s="275"/>
      <c r="X429" s="275"/>
      <c r="Y429" s="275"/>
      <c r="Z429" s="276" t="str">
        <f>VLOOKUP(功能_33[[#This Row],[User]],SKL放款!A:G,7,FALSE)</f>
        <v>放款管理課</v>
      </c>
      <c r="AA429" s="283">
        <v>44533</v>
      </c>
      <c r="AB429" s="283" t="s">
        <v>181</v>
      </c>
      <c r="AC429" s="283">
        <v>44540</v>
      </c>
      <c r="AD429" s="283">
        <v>44540</v>
      </c>
      <c r="AE429" s="215" t="s">
        <v>3008</v>
      </c>
      <c r="AF429" s="283"/>
      <c r="AG429" s="283"/>
      <c r="AH429" s="334"/>
      <c r="AI429" s="283">
        <f>IFERROR(IF(VLOOKUP(功能_33[[#This Row],[功能代號]],E:S,11,FALSE)=0,"",VLOOKUP(功能_33[[#This Row],[功能代號]],E:S,11,FALSE)),"")</f>
        <v>44536</v>
      </c>
      <c r="AJ429" s="283"/>
      <c r="AK429" s="283"/>
      <c r="AL429" s="276"/>
      <c r="AN429" s="275" t="s">
        <v>2623</v>
      </c>
      <c r="AQ429" s="507" t="str">
        <f t="shared" si="60"/>
        <v>8-3</v>
      </c>
      <c r="AR429" s="509" t="str">
        <f t="shared" si="61"/>
        <v/>
      </c>
      <c r="AS429" s="511" t="str">
        <f t="shared" si="62"/>
        <v/>
      </c>
      <c r="AT429" s="513" t="str">
        <f t="shared" si="63"/>
        <v/>
      </c>
      <c r="AU429" s="515" t="str">
        <f t="shared" si="64"/>
        <v/>
      </c>
      <c r="AV429" s="517" t="str">
        <f t="shared" si="65"/>
        <v/>
      </c>
      <c r="AW429" s="589" t="str">
        <f>IFERROR(VLOOKUP(功能_33[[#This Row],[功能代號]],SIT_FT!D:D,1,FALSE),"")</f>
        <v/>
      </c>
    </row>
    <row r="430" spans="3:49" ht="13.5" hidden="1" x14ac:dyDescent="0.3">
      <c r="C430" s="276" t="s">
        <v>84</v>
      </c>
      <c r="D430" s="276" t="s">
        <v>2494</v>
      </c>
      <c r="E430" s="275" t="s">
        <v>1142</v>
      </c>
      <c r="F430" s="276" t="s">
        <v>1143</v>
      </c>
      <c r="G430" s="276" t="s">
        <v>1119</v>
      </c>
      <c r="H430" s="275" t="s">
        <v>122</v>
      </c>
      <c r="I430" s="275" t="s">
        <v>123</v>
      </c>
      <c r="J430" s="282" t="s">
        <v>2979</v>
      </c>
      <c r="K430" s="283">
        <v>44575</v>
      </c>
      <c r="L430" s="283"/>
      <c r="M430" s="283">
        <v>44516</v>
      </c>
      <c r="N430" s="283">
        <v>44517</v>
      </c>
      <c r="O430" s="283">
        <v>44536</v>
      </c>
      <c r="P430" s="275" t="s">
        <v>7</v>
      </c>
      <c r="Q430" s="275" t="s">
        <v>25</v>
      </c>
      <c r="V430" s="275"/>
      <c r="X430" s="275"/>
      <c r="Y430" s="275"/>
      <c r="Z430" s="276" t="str">
        <f>VLOOKUP(功能_33[[#This Row],[User]],SKL放款!A:G,7,FALSE)</f>
        <v>放款管理課</v>
      </c>
      <c r="AA430" s="283">
        <v>44533</v>
      </c>
      <c r="AB430" s="283" t="s">
        <v>181</v>
      </c>
      <c r="AC430" s="283">
        <v>44540</v>
      </c>
      <c r="AD430" s="283">
        <v>44540</v>
      </c>
      <c r="AE430" s="215" t="s">
        <v>3008</v>
      </c>
      <c r="AF430" s="283"/>
      <c r="AG430" s="283"/>
      <c r="AH430" s="334"/>
      <c r="AI430" s="283">
        <f>IFERROR(IF(VLOOKUP(功能_33[[#This Row],[功能代號]],E:S,11,FALSE)=0,"",VLOOKUP(功能_33[[#This Row],[功能代號]],E:S,11,FALSE)),"")</f>
        <v>44536</v>
      </c>
      <c r="AJ430" s="283"/>
      <c r="AK430" s="283"/>
      <c r="AL430" s="276"/>
      <c r="AN430" s="275" t="s">
        <v>2623</v>
      </c>
      <c r="AQ430" s="507" t="str">
        <f t="shared" si="60"/>
        <v>8-3</v>
      </c>
      <c r="AR430" s="509" t="str">
        <f t="shared" si="61"/>
        <v/>
      </c>
      <c r="AS430" s="511" t="str">
        <f t="shared" si="62"/>
        <v/>
      </c>
      <c r="AT430" s="513" t="str">
        <f t="shared" si="63"/>
        <v/>
      </c>
      <c r="AU430" s="515" t="str">
        <f t="shared" si="64"/>
        <v/>
      </c>
      <c r="AV430" s="517" t="str">
        <f t="shared" si="65"/>
        <v/>
      </c>
      <c r="AW430" s="589" t="str">
        <f>IFERROR(VLOOKUP(功能_33[[#This Row],[功能代號]],SIT_FT!D:D,1,FALSE),"")</f>
        <v/>
      </c>
    </row>
    <row r="431" spans="3:49" ht="13.5" hidden="1" x14ac:dyDescent="0.3">
      <c r="C431" s="276" t="s">
        <v>84</v>
      </c>
      <c r="D431" s="276" t="s">
        <v>2494</v>
      </c>
      <c r="E431" s="275" t="s">
        <v>1144</v>
      </c>
      <c r="F431" s="276" t="s">
        <v>1145</v>
      </c>
      <c r="G431" s="276" t="s">
        <v>1119</v>
      </c>
      <c r="H431" s="275" t="s">
        <v>122</v>
      </c>
      <c r="I431" s="275" t="s">
        <v>123</v>
      </c>
      <c r="J431" s="282" t="s">
        <v>2979</v>
      </c>
      <c r="K431" s="283">
        <v>44575</v>
      </c>
      <c r="L431" s="283"/>
      <c r="M431" s="283">
        <v>44516</v>
      </c>
      <c r="N431" s="283">
        <v>44517</v>
      </c>
      <c r="O431" s="283">
        <v>44536</v>
      </c>
      <c r="P431" s="275" t="s">
        <v>7</v>
      </c>
      <c r="Q431" s="275" t="s">
        <v>25</v>
      </c>
      <c r="V431" s="275"/>
      <c r="X431" s="275"/>
      <c r="Y431" s="275"/>
      <c r="Z431" s="276" t="str">
        <f>VLOOKUP(功能_33[[#This Row],[User]],SKL放款!A:G,7,FALSE)</f>
        <v>放款管理課</v>
      </c>
      <c r="AA431" s="283">
        <v>44533</v>
      </c>
      <c r="AB431" s="283" t="s">
        <v>181</v>
      </c>
      <c r="AC431" s="283">
        <v>44540</v>
      </c>
      <c r="AD431" s="283">
        <v>44540</v>
      </c>
      <c r="AE431" s="215" t="s">
        <v>3008</v>
      </c>
      <c r="AF431" s="283"/>
      <c r="AG431" s="283"/>
      <c r="AH431" s="334"/>
      <c r="AI431" s="283">
        <f>IFERROR(IF(VLOOKUP(功能_33[[#This Row],[功能代號]],E:S,11,FALSE)=0,"",VLOOKUP(功能_33[[#This Row],[功能代號]],E:S,11,FALSE)),"")</f>
        <v>44536</v>
      </c>
      <c r="AJ431" s="283"/>
      <c r="AK431" s="283"/>
      <c r="AL431" s="276"/>
      <c r="AN431" s="275" t="s">
        <v>2623</v>
      </c>
      <c r="AQ431" s="507" t="str">
        <f t="shared" si="60"/>
        <v>8-3</v>
      </c>
      <c r="AR431" s="509" t="str">
        <f t="shared" si="61"/>
        <v/>
      </c>
      <c r="AS431" s="511" t="str">
        <f t="shared" si="62"/>
        <v/>
      </c>
      <c r="AT431" s="513" t="str">
        <f t="shared" si="63"/>
        <v/>
      </c>
      <c r="AU431" s="515" t="str">
        <f t="shared" si="64"/>
        <v/>
      </c>
      <c r="AV431" s="517" t="str">
        <f t="shared" si="65"/>
        <v/>
      </c>
      <c r="AW431" s="589" t="str">
        <f>IFERROR(VLOOKUP(功能_33[[#This Row],[功能代號]],SIT_FT!D:D,1,FALSE),"")</f>
        <v/>
      </c>
    </row>
    <row r="432" spans="3:49" ht="13.5" hidden="1" x14ac:dyDescent="0.3">
      <c r="C432" s="276" t="s">
        <v>84</v>
      </c>
      <c r="D432" s="276" t="s">
        <v>2494</v>
      </c>
      <c r="E432" s="275" t="s">
        <v>1146</v>
      </c>
      <c r="F432" s="276" t="s">
        <v>1147</v>
      </c>
      <c r="G432" s="276" t="s">
        <v>1119</v>
      </c>
      <c r="H432" s="275" t="s">
        <v>122</v>
      </c>
      <c r="I432" s="275" t="s">
        <v>123</v>
      </c>
      <c r="J432" s="282" t="s">
        <v>2979</v>
      </c>
      <c r="K432" s="283">
        <v>44575</v>
      </c>
      <c r="L432" s="283"/>
      <c r="M432" s="283">
        <v>44516</v>
      </c>
      <c r="N432" s="283">
        <v>44517</v>
      </c>
      <c r="O432" s="283">
        <v>44536</v>
      </c>
      <c r="P432" s="275" t="s">
        <v>7</v>
      </c>
      <c r="Q432" s="275" t="s">
        <v>25</v>
      </c>
      <c r="V432" s="275"/>
      <c r="X432" s="275"/>
      <c r="Y432" s="275"/>
      <c r="Z432" s="276" t="str">
        <f>VLOOKUP(功能_33[[#This Row],[User]],SKL放款!A:G,7,FALSE)</f>
        <v>放款管理課</v>
      </c>
      <c r="AA432" s="283">
        <v>44533</v>
      </c>
      <c r="AB432" s="283" t="s">
        <v>181</v>
      </c>
      <c r="AC432" s="283">
        <v>44540</v>
      </c>
      <c r="AD432" s="283">
        <v>44540</v>
      </c>
      <c r="AE432" s="215" t="s">
        <v>3008</v>
      </c>
      <c r="AF432" s="283"/>
      <c r="AG432" s="283"/>
      <c r="AH432" s="334"/>
      <c r="AI432" s="283">
        <f>IFERROR(IF(VLOOKUP(功能_33[[#This Row],[功能代號]],E:S,11,FALSE)=0,"",VLOOKUP(功能_33[[#This Row],[功能代號]],E:S,11,FALSE)),"")</f>
        <v>44536</v>
      </c>
      <c r="AJ432" s="283"/>
      <c r="AK432" s="283"/>
      <c r="AL432" s="276"/>
      <c r="AN432" s="275" t="s">
        <v>2623</v>
      </c>
      <c r="AQ432" s="507" t="str">
        <f t="shared" si="60"/>
        <v>8-3</v>
      </c>
      <c r="AR432" s="509" t="str">
        <f t="shared" si="61"/>
        <v/>
      </c>
      <c r="AS432" s="511" t="str">
        <f t="shared" si="62"/>
        <v/>
      </c>
      <c r="AT432" s="513" t="str">
        <f t="shared" si="63"/>
        <v/>
      </c>
      <c r="AU432" s="515" t="str">
        <f t="shared" si="64"/>
        <v/>
      </c>
      <c r="AV432" s="517" t="str">
        <f t="shared" si="65"/>
        <v/>
      </c>
      <c r="AW432" s="589" t="str">
        <f>IFERROR(VLOOKUP(功能_33[[#This Row],[功能代號]],SIT_FT!D:D,1,FALSE),"")</f>
        <v/>
      </c>
    </row>
    <row r="433" spans="3:49" ht="13.5" hidden="1" x14ac:dyDescent="0.3">
      <c r="C433" s="276" t="s">
        <v>84</v>
      </c>
      <c r="D433" s="276" t="s">
        <v>2494</v>
      </c>
      <c r="E433" s="275" t="s">
        <v>1148</v>
      </c>
      <c r="F433" s="276" t="s">
        <v>1149</v>
      </c>
      <c r="G433" s="276" t="s">
        <v>1119</v>
      </c>
      <c r="H433" s="275" t="s">
        <v>122</v>
      </c>
      <c r="I433" s="275" t="s">
        <v>123</v>
      </c>
      <c r="J433" s="282" t="s">
        <v>2979</v>
      </c>
      <c r="K433" s="283">
        <v>44575</v>
      </c>
      <c r="L433" s="283"/>
      <c r="M433" s="283">
        <v>44516</v>
      </c>
      <c r="N433" s="283">
        <v>44517</v>
      </c>
      <c r="O433" s="283">
        <v>44536</v>
      </c>
      <c r="P433" s="275" t="s">
        <v>7</v>
      </c>
      <c r="Q433" s="275" t="s">
        <v>25</v>
      </c>
      <c r="V433" s="275"/>
      <c r="X433" s="275"/>
      <c r="Y433" s="275"/>
      <c r="Z433" s="276" t="str">
        <f>VLOOKUP(功能_33[[#This Row],[User]],SKL放款!A:G,7,FALSE)</f>
        <v>放款管理課</v>
      </c>
      <c r="AA433" s="283">
        <v>44533</v>
      </c>
      <c r="AB433" s="283" t="s">
        <v>181</v>
      </c>
      <c r="AC433" s="283">
        <v>44540</v>
      </c>
      <c r="AD433" s="283">
        <v>44540</v>
      </c>
      <c r="AE433" s="215" t="s">
        <v>3008</v>
      </c>
      <c r="AF433" s="283"/>
      <c r="AG433" s="283"/>
      <c r="AH433" s="334"/>
      <c r="AI433" s="283">
        <f>IFERROR(IF(VLOOKUP(功能_33[[#This Row],[功能代號]],E:S,11,FALSE)=0,"",VLOOKUP(功能_33[[#This Row],[功能代號]],E:S,11,FALSE)),"")</f>
        <v>44536</v>
      </c>
      <c r="AJ433" s="283"/>
      <c r="AK433" s="283"/>
      <c r="AL433" s="276"/>
      <c r="AN433" s="275" t="s">
        <v>2623</v>
      </c>
      <c r="AQ433" s="507" t="str">
        <f t="shared" si="60"/>
        <v>8-3</v>
      </c>
      <c r="AR433" s="509" t="str">
        <f t="shared" si="61"/>
        <v/>
      </c>
      <c r="AS433" s="511" t="str">
        <f t="shared" si="62"/>
        <v/>
      </c>
      <c r="AT433" s="513" t="str">
        <f t="shared" si="63"/>
        <v/>
      </c>
      <c r="AU433" s="515" t="str">
        <f t="shared" si="64"/>
        <v/>
      </c>
      <c r="AV433" s="517" t="str">
        <f t="shared" si="65"/>
        <v/>
      </c>
      <c r="AW433" s="589" t="str">
        <f>IFERROR(VLOOKUP(功能_33[[#This Row],[功能代號]],SIT_FT!D:D,1,FALSE),"")</f>
        <v/>
      </c>
    </row>
    <row r="434" spans="3:49" ht="13.5" hidden="1" x14ac:dyDescent="0.3">
      <c r="C434" s="276" t="s">
        <v>84</v>
      </c>
      <c r="D434" s="276" t="s">
        <v>2494</v>
      </c>
      <c r="E434" s="275" t="s">
        <v>1150</v>
      </c>
      <c r="F434" s="276" t="s">
        <v>1151</v>
      </c>
      <c r="G434" s="276" t="s">
        <v>1119</v>
      </c>
      <c r="H434" s="275" t="s">
        <v>122</v>
      </c>
      <c r="I434" s="275" t="s">
        <v>123</v>
      </c>
      <c r="J434" s="282" t="s">
        <v>2979</v>
      </c>
      <c r="K434" s="283">
        <v>44575</v>
      </c>
      <c r="L434" s="283"/>
      <c r="M434" s="283">
        <v>44516</v>
      </c>
      <c r="N434" s="283">
        <v>44517</v>
      </c>
      <c r="O434" s="283">
        <v>44536</v>
      </c>
      <c r="P434" s="275" t="s">
        <v>7</v>
      </c>
      <c r="Q434" s="275" t="s">
        <v>25</v>
      </c>
      <c r="V434" s="275"/>
      <c r="X434" s="275"/>
      <c r="Y434" s="275"/>
      <c r="Z434" s="276" t="str">
        <f>VLOOKUP(功能_33[[#This Row],[User]],SKL放款!A:G,7,FALSE)</f>
        <v>放款管理課</v>
      </c>
      <c r="AA434" s="283">
        <v>44533</v>
      </c>
      <c r="AB434" s="283" t="s">
        <v>181</v>
      </c>
      <c r="AC434" s="283">
        <v>44540</v>
      </c>
      <c r="AD434" s="283">
        <v>44540</v>
      </c>
      <c r="AE434" s="215" t="s">
        <v>3008</v>
      </c>
      <c r="AF434" s="283"/>
      <c r="AG434" s="283"/>
      <c r="AH434" s="334"/>
      <c r="AI434" s="283">
        <f>IFERROR(IF(VLOOKUP(功能_33[[#This Row],[功能代號]],E:S,11,FALSE)=0,"",VLOOKUP(功能_33[[#This Row],[功能代號]],E:S,11,FALSE)),"")</f>
        <v>44536</v>
      </c>
      <c r="AJ434" s="283"/>
      <c r="AK434" s="283"/>
      <c r="AL434" s="276"/>
      <c r="AN434" s="275" t="s">
        <v>2623</v>
      </c>
      <c r="AQ434" s="507" t="str">
        <f t="shared" si="60"/>
        <v>8-3</v>
      </c>
      <c r="AR434" s="509" t="str">
        <f t="shared" si="61"/>
        <v/>
      </c>
      <c r="AS434" s="511" t="str">
        <f t="shared" si="62"/>
        <v/>
      </c>
      <c r="AT434" s="513" t="str">
        <f t="shared" si="63"/>
        <v/>
      </c>
      <c r="AU434" s="515" t="str">
        <f t="shared" si="64"/>
        <v/>
      </c>
      <c r="AV434" s="517" t="str">
        <f t="shared" si="65"/>
        <v/>
      </c>
      <c r="AW434" s="589" t="str">
        <f>IFERROR(VLOOKUP(功能_33[[#This Row],[功能代號]],SIT_FT!D:D,1,FALSE),"")</f>
        <v/>
      </c>
    </row>
    <row r="435" spans="3:49" ht="13.5" hidden="1" x14ac:dyDescent="0.3">
      <c r="C435" s="276" t="s">
        <v>84</v>
      </c>
      <c r="D435" s="276" t="s">
        <v>2494</v>
      </c>
      <c r="E435" s="275" t="s">
        <v>1152</v>
      </c>
      <c r="F435" s="276" t="s">
        <v>1153</v>
      </c>
      <c r="G435" s="276" t="s">
        <v>1119</v>
      </c>
      <c r="H435" s="275" t="s">
        <v>122</v>
      </c>
      <c r="I435" s="275" t="s">
        <v>123</v>
      </c>
      <c r="J435" s="282" t="s">
        <v>2979</v>
      </c>
      <c r="K435" s="283">
        <v>44575</v>
      </c>
      <c r="L435" s="283"/>
      <c r="M435" s="283">
        <v>44516</v>
      </c>
      <c r="N435" s="283">
        <v>44517</v>
      </c>
      <c r="O435" s="283">
        <v>44536</v>
      </c>
      <c r="P435" s="275" t="s">
        <v>7</v>
      </c>
      <c r="Q435" s="275" t="s">
        <v>25</v>
      </c>
      <c r="V435" s="275"/>
      <c r="X435" s="275"/>
      <c r="Y435" s="275"/>
      <c r="Z435" s="276" t="str">
        <f>VLOOKUP(功能_33[[#This Row],[User]],SKL放款!A:G,7,FALSE)</f>
        <v>放款管理課</v>
      </c>
      <c r="AA435" s="283">
        <v>44533</v>
      </c>
      <c r="AB435" s="283" t="s">
        <v>181</v>
      </c>
      <c r="AC435" s="283">
        <v>44540</v>
      </c>
      <c r="AD435" s="283">
        <v>44540</v>
      </c>
      <c r="AE435" s="215" t="s">
        <v>3008</v>
      </c>
      <c r="AF435" s="283"/>
      <c r="AG435" s="283"/>
      <c r="AH435" s="334"/>
      <c r="AI435" s="283">
        <f>IFERROR(IF(VLOOKUP(功能_33[[#This Row],[功能代號]],E:S,11,FALSE)=0,"",VLOOKUP(功能_33[[#This Row],[功能代號]],E:S,11,FALSE)),"")</f>
        <v>44536</v>
      </c>
      <c r="AJ435" s="283"/>
      <c r="AK435" s="283"/>
      <c r="AL435" s="276"/>
      <c r="AN435" s="275" t="s">
        <v>2623</v>
      </c>
      <c r="AQ435" s="507" t="str">
        <f t="shared" si="60"/>
        <v>8-3</v>
      </c>
      <c r="AR435" s="509" t="str">
        <f t="shared" si="61"/>
        <v/>
      </c>
      <c r="AS435" s="511" t="str">
        <f t="shared" si="62"/>
        <v/>
      </c>
      <c r="AT435" s="513" t="str">
        <f t="shared" si="63"/>
        <v/>
      </c>
      <c r="AU435" s="515" t="str">
        <f t="shared" si="64"/>
        <v/>
      </c>
      <c r="AV435" s="517" t="str">
        <f t="shared" si="65"/>
        <v/>
      </c>
      <c r="AW435" s="589" t="str">
        <f>IFERROR(VLOOKUP(功能_33[[#This Row],[功能代號]],SIT_FT!D:D,1,FALSE),"")</f>
        <v/>
      </c>
    </row>
    <row r="436" spans="3:49" ht="13.5" hidden="1" x14ac:dyDescent="0.3">
      <c r="C436" s="276" t="s">
        <v>84</v>
      </c>
      <c r="D436" s="276" t="s">
        <v>2494</v>
      </c>
      <c r="E436" s="275" t="s">
        <v>1154</v>
      </c>
      <c r="F436" s="276" t="s">
        <v>1155</v>
      </c>
      <c r="G436" s="276" t="s">
        <v>1119</v>
      </c>
      <c r="H436" s="275" t="s">
        <v>122</v>
      </c>
      <c r="I436" s="275" t="s">
        <v>123</v>
      </c>
      <c r="J436" s="282" t="s">
        <v>2979</v>
      </c>
      <c r="K436" s="283">
        <v>44575</v>
      </c>
      <c r="L436" s="283"/>
      <c r="M436" s="283">
        <v>44517</v>
      </c>
      <c r="N436" s="283">
        <v>44517</v>
      </c>
      <c r="O436" s="283">
        <v>44536</v>
      </c>
      <c r="P436" s="275" t="s">
        <v>7</v>
      </c>
      <c r="Q436" s="275" t="s">
        <v>25</v>
      </c>
      <c r="V436" s="275"/>
      <c r="X436" s="275"/>
      <c r="Y436" s="275"/>
      <c r="Z436" s="276" t="str">
        <f>VLOOKUP(功能_33[[#This Row],[User]],SKL放款!A:G,7,FALSE)</f>
        <v>放款管理課</v>
      </c>
      <c r="AA436" s="283">
        <v>44533</v>
      </c>
      <c r="AB436" s="283" t="s">
        <v>181</v>
      </c>
      <c r="AC436" s="283">
        <v>44540</v>
      </c>
      <c r="AD436" s="283">
        <v>44540</v>
      </c>
      <c r="AE436" s="215" t="s">
        <v>3008</v>
      </c>
      <c r="AF436" s="283"/>
      <c r="AG436" s="283"/>
      <c r="AH436" s="334"/>
      <c r="AI436" s="283">
        <f>IFERROR(IF(VLOOKUP(功能_33[[#This Row],[功能代號]],E:S,11,FALSE)=0,"",VLOOKUP(功能_33[[#This Row],[功能代號]],E:S,11,FALSE)),"")</f>
        <v>44536</v>
      </c>
      <c r="AJ436" s="283"/>
      <c r="AK436" s="283"/>
      <c r="AL436" s="276"/>
      <c r="AN436" s="275" t="s">
        <v>2623</v>
      </c>
      <c r="AQ436" s="507" t="str">
        <f t="shared" si="60"/>
        <v>8-3</v>
      </c>
      <c r="AR436" s="509" t="str">
        <f t="shared" si="61"/>
        <v/>
      </c>
      <c r="AS436" s="511" t="str">
        <f t="shared" si="62"/>
        <v/>
      </c>
      <c r="AT436" s="513" t="str">
        <f t="shared" si="63"/>
        <v/>
      </c>
      <c r="AU436" s="515" t="str">
        <f t="shared" si="64"/>
        <v/>
      </c>
      <c r="AV436" s="517" t="str">
        <f t="shared" si="65"/>
        <v/>
      </c>
      <c r="AW436" s="589" t="str">
        <f>IFERROR(VLOOKUP(功能_33[[#This Row],[功能代號]],SIT_FT!D:D,1,FALSE),"")</f>
        <v/>
      </c>
    </row>
    <row r="437" spans="3:49" ht="13.5" hidden="1" x14ac:dyDescent="0.3">
      <c r="C437" s="276" t="s">
        <v>84</v>
      </c>
      <c r="D437" s="276" t="s">
        <v>2494</v>
      </c>
      <c r="E437" s="275" t="s">
        <v>1156</v>
      </c>
      <c r="F437" s="276" t="s">
        <v>1157</v>
      </c>
      <c r="G437" s="276" t="s">
        <v>1119</v>
      </c>
      <c r="H437" s="275" t="s">
        <v>122</v>
      </c>
      <c r="I437" s="275" t="s">
        <v>123</v>
      </c>
      <c r="J437" s="282" t="s">
        <v>2979</v>
      </c>
      <c r="K437" s="283">
        <v>44575</v>
      </c>
      <c r="L437" s="283"/>
      <c r="M437" s="283">
        <v>44517</v>
      </c>
      <c r="N437" s="283">
        <v>44517</v>
      </c>
      <c r="O437" s="283">
        <v>44536</v>
      </c>
      <c r="P437" s="275" t="s">
        <v>7</v>
      </c>
      <c r="Q437" s="275" t="s">
        <v>25</v>
      </c>
      <c r="V437" s="275"/>
      <c r="X437" s="275"/>
      <c r="Y437" s="275"/>
      <c r="Z437" s="276" t="str">
        <f>VLOOKUP(功能_33[[#This Row],[User]],SKL放款!A:G,7,FALSE)</f>
        <v>放款管理課</v>
      </c>
      <c r="AA437" s="283">
        <v>44533</v>
      </c>
      <c r="AB437" s="283" t="s">
        <v>181</v>
      </c>
      <c r="AC437" s="283">
        <v>44540</v>
      </c>
      <c r="AD437" s="283">
        <v>44540</v>
      </c>
      <c r="AE437" s="215" t="s">
        <v>3008</v>
      </c>
      <c r="AF437" s="283"/>
      <c r="AG437" s="283"/>
      <c r="AH437" s="334"/>
      <c r="AI437" s="283">
        <f>IFERROR(IF(VLOOKUP(功能_33[[#This Row],[功能代號]],E:S,11,FALSE)=0,"",VLOOKUP(功能_33[[#This Row],[功能代號]],E:S,11,FALSE)),"")</f>
        <v>44536</v>
      </c>
      <c r="AJ437" s="283"/>
      <c r="AK437" s="283"/>
      <c r="AL437" s="276"/>
      <c r="AN437" s="275" t="s">
        <v>2623</v>
      </c>
      <c r="AQ437" s="507" t="str">
        <f t="shared" si="60"/>
        <v>8-3</v>
      </c>
      <c r="AR437" s="509" t="str">
        <f t="shared" si="61"/>
        <v/>
      </c>
      <c r="AS437" s="511" t="str">
        <f t="shared" si="62"/>
        <v/>
      </c>
      <c r="AT437" s="513" t="str">
        <f t="shared" si="63"/>
        <v/>
      </c>
      <c r="AU437" s="515" t="str">
        <f t="shared" si="64"/>
        <v/>
      </c>
      <c r="AV437" s="517" t="str">
        <f t="shared" si="65"/>
        <v/>
      </c>
      <c r="AW437" s="589" t="str">
        <f>IFERROR(VLOOKUP(功能_33[[#This Row],[功能代號]],SIT_FT!D:D,1,FALSE),"")</f>
        <v/>
      </c>
    </row>
    <row r="438" spans="3:49" ht="13.5" hidden="1" x14ac:dyDescent="0.3">
      <c r="C438" s="276" t="s">
        <v>84</v>
      </c>
      <c r="D438" s="276" t="s">
        <v>2494</v>
      </c>
      <c r="E438" s="275" t="s">
        <v>1158</v>
      </c>
      <c r="F438" s="276" t="s">
        <v>1159</v>
      </c>
      <c r="G438" s="276" t="s">
        <v>1119</v>
      </c>
      <c r="H438" s="275" t="s">
        <v>122</v>
      </c>
      <c r="I438" s="275" t="s">
        <v>123</v>
      </c>
      <c r="J438" s="282" t="s">
        <v>2979</v>
      </c>
      <c r="K438" s="283">
        <v>44575</v>
      </c>
      <c r="L438" s="283"/>
      <c r="M438" s="283">
        <v>44517</v>
      </c>
      <c r="N438" s="283">
        <v>44517</v>
      </c>
      <c r="O438" s="283">
        <v>44536</v>
      </c>
      <c r="P438" s="275" t="s">
        <v>7</v>
      </c>
      <c r="Q438" s="275" t="s">
        <v>25</v>
      </c>
      <c r="V438" s="275"/>
      <c r="X438" s="275"/>
      <c r="Y438" s="275"/>
      <c r="Z438" s="276" t="str">
        <f>VLOOKUP(功能_33[[#This Row],[User]],SKL放款!A:G,7,FALSE)</f>
        <v>放款管理課</v>
      </c>
      <c r="AA438" s="283">
        <v>44533</v>
      </c>
      <c r="AB438" s="283" t="s">
        <v>181</v>
      </c>
      <c r="AC438" s="283">
        <v>44540</v>
      </c>
      <c r="AD438" s="283">
        <v>44540</v>
      </c>
      <c r="AE438" s="215" t="s">
        <v>3008</v>
      </c>
      <c r="AF438" s="283"/>
      <c r="AG438" s="283"/>
      <c r="AH438" s="334"/>
      <c r="AI438" s="283">
        <f>IFERROR(IF(VLOOKUP(功能_33[[#This Row],[功能代號]],E:S,11,FALSE)=0,"",VLOOKUP(功能_33[[#This Row],[功能代號]],E:S,11,FALSE)),"")</f>
        <v>44536</v>
      </c>
      <c r="AJ438" s="283"/>
      <c r="AK438" s="283"/>
      <c r="AL438" s="276"/>
      <c r="AN438" s="275" t="s">
        <v>2623</v>
      </c>
      <c r="AQ438" s="507" t="str">
        <f t="shared" si="60"/>
        <v>8-3</v>
      </c>
      <c r="AR438" s="509" t="str">
        <f t="shared" si="61"/>
        <v/>
      </c>
      <c r="AS438" s="511" t="str">
        <f t="shared" si="62"/>
        <v/>
      </c>
      <c r="AT438" s="513" t="str">
        <f t="shared" si="63"/>
        <v/>
      </c>
      <c r="AU438" s="515" t="str">
        <f t="shared" si="64"/>
        <v/>
      </c>
      <c r="AV438" s="517" t="str">
        <f t="shared" si="65"/>
        <v/>
      </c>
      <c r="AW438" s="589" t="str">
        <f>IFERROR(VLOOKUP(功能_33[[#This Row],[功能代號]],SIT_FT!D:D,1,FALSE),"")</f>
        <v/>
      </c>
    </row>
    <row r="439" spans="3:49" ht="13.5" hidden="1" x14ac:dyDescent="0.3">
      <c r="C439" s="276" t="s">
        <v>84</v>
      </c>
      <c r="D439" s="276" t="s">
        <v>2494</v>
      </c>
      <c r="E439" s="275" t="s">
        <v>1160</v>
      </c>
      <c r="F439" s="276" t="s">
        <v>1161</v>
      </c>
      <c r="G439" s="276" t="s">
        <v>1119</v>
      </c>
      <c r="H439" s="275" t="s">
        <v>122</v>
      </c>
      <c r="I439" s="275" t="s">
        <v>123</v>
      </c>
      <c r="J439" s="282" t="s">
        <v>2979</v>
      </c>
      <c r="K439" s="283">
        <v>44575</v>
      </c>
      <c r="L439" s="283"/>
      <c r="M439" s="283">
        <v>44517</v>
      </c>
      <c r="N439" s="283">
        <v>44517</v>
      </c>
      <c r="O439" s="283">
        <v>44536</v>
      </c>
      <c r="P439" s="275" t="s">
        <v>7</v>
      </c>
      <c r="Q439" s="275" t="s">
        <v>25</v>
      </c>
      <c r="V439" s="275"/>
      <c r="X439" s="275"/>
      <c r="Y439" s="275"/>
      <c r="Z439" s="276" t="str">
        <f>VLOOKUP(功能_33[[#This Row],[User]],SKL放款!A:G,7,FALSE)</f>
        <v>放款管理課</v>
      </c>
      <c r="AA439" s="283">
        <v>44533</v>
      </c>
      <c r="AB439" s="283" t="s">
        <v>181</v>
      </c>
      <c r="AC439" s="283">
        <v>44540</v>
      </c>
      <c r="AD439" s="283">
        <v>44540</v>
      </c>
      <c r="AE439" s="215" t="s">
        <v>3008</v>
      </c>
      <c r="AF439" s="283"/>
      <c r="AG439" s="283"/>
      <c r="AH439" s="334"/>
      <c r="AI439" s="283">
        <f>IFERROR(IF(VLOOKUP(功能_33[[#This Row],[功能代號]],E:S,11,FALSE)=0,"",VLOOKUP(功能_33[[#This Row],[功能代號]],E:S,11,FALSE)),"")</f>
        <v>44536</v>
      </c>
      <c r="AJ439" s="283"/>
      <c r="AK439" s="283"/>
      <c r="AL439" s="276"/>
      <c r="AN439" s="275" t="s">
        <v>2623</v>
      </c>
      <c r="AQ439" s="507" t="str">
        <f t="shared" si="60"/>
        <v>8-3</v>
      </c>
      <c r="AR439" s="509" t="str">
        <f t="shared" si="61"/>
        <v/>
      </c>
      <c r="AS439" s="511" t="str">
        <f t="shared" si="62"/>
        <v/>
      </c>
      <c r="AT439" s="513" t="str">
        <f t="shared" si="63"/>
        <v/>
      </c>
      <c r="AU439" s="515" t="str">
        <f t="shared" si="64"/>
        <v/>
      </c>
      <c r="AV439" s="517" t="str">
        <f t="shared" si="65"/>
        <v/>
      </c>
      <c r="AW439" s="589" t="str">
        <f>IFERROR(VLOOKUP(功能_33[[#This Row],[功能代號]],SIT_FT!D:D,1,FALSE),"")</f>
        <v/>
      </c>
    </row>
    <row r="440" spans="3:49" ht="13.5" hidden="1" x14ac:dyDescent="0.3">
      <c r="C440" s="276" t="s">
        <v>84</v>
      </c>
      <c r="D440" s="276" t="s">
        <v>2494</v>
      </c>
      <c r="E440" s="275" t="s">
        <v>1162</v>
      </c>
      <c r="F440" s="276" t="s">
        <v>1163</v>
      </c>
      <c r="G440" s="276" t="s">
        <v>1119</v>
      </c>
      <c r="H440" s="275" t="s">
        <v>122</v>
      </c>
      <c r="I440" s="275" t="s">
        <v>123</v>
      </c>
      <c r="J440" s="282" t="s">
        <v>2979</v>
      </c>
      <c r="K440" s="283">
        <v>44575</v>
      </c>
      <c r="L440" s="283"/>
      <c r="M440" s="283">
        <v>44518</v>
      </c>
      <c r="N440" s="283">
        <v>44517</v>
      </c>
      <c r="O440" s="283">
        <v>44536</v>
      </c>
      <c r="P440" s="275" t="s">
        <v>7</v>
      </c>
      <c r="Q440" s="275" t="s">
        <v>25</v>
      </c>
      <c r="V440" s="275"/>
      <c r="X440" s="275"/>
      <c r="Y440" s="275"/>
      <c r="Z440" s="276" t="str">
        <f>VLOOKUP(功能_33[[#This Row],[User]],SKL放款!A:G,7,FALSE)</f>
        <v>放款管理課</v>
      </c>
      <c r="AA440" s="283">
        <v>44533</v>
      </c>
      <c r="AB440" s="283" t="s">
        <v>181</v>
      </c>
      <c r="AC440" s="283">
        <v>44540</v>
      </c>
      <c r="AD440" s="283">
        <v>44540</v>
      </c>
      <c r="AE440" s="215" t="s">
        <v>3008</v>
      </c>
      <c r="AF440" s="283"/>
      <c r="AG440" s="283"/>
      <c r="AH440" s="334"/>
      <c r="AI440" s="283">
        <f>IFERROR(IF(VLOOKUP(功能_33[[#This Row],[功能代號]],E:S,11,FALSE)=0,"",VLOOKUP(功能_33[[#This Row],[功能代號]],E:S,11,FALSE)),"")</f>
        <v>44536</v>
      </c>
      <c r="AJ440" s="283"/>
      <c r="AK440" s="283"/>
      <c r="AL440" s="276"/>
      <c r="AN440" s="275" t="s">
        <v>2623</v>
      </c>
      <c r="AQ440" s="507" t="str">
        <f t="shared" si="60"/>
        <v>8-3</v>
      </c>
      <c r="AR440" s="509" t="str">
        <f t="shared" si="61"/>
        <v/>
      </c>
      <c r="AS440" s="511" t="str">
        <f t="shared" si="62"/>
        <v/>
      </c>
      <c r="AT440" s="513" t="str">
        <f t="shared" si="63"/>
        <v/>
      </c>
      <c r="AU440" s="515" t="str">
        <f t="shared" si="64"/>
        <v/>
      </c>
      <c r="AV440" s="517" t="str">
        <f t="shared" si="65"/>
        <v/>
      </c>
      <c r="AW440" s="589" t="str">
        <f>IFERROR(VLOOKUP(功能_33[[#This Row],[功能代號]],SIT_FT!D:D,1,FALSE),"")</f>
        <v/>
      </c>
    </row>
    <row r="441" spans="3:49" ht="13.5" hidden="1" x14ac:dyDescent="0.3">
      <c r="C441" s="276" t="s">
        <v>84</v>
      </c>
      <c r="D441" s="276" t="s">
        <v>2494</v>
      </c>
      <c r="E441" s="275" t="s">
        <v>1164</v>
      </c>
      <c r="F441" s="276" t="s">
        <v>1165</v>
      </c>
      <c r="G441" s="276" t="s">
        <v>1119</v>
      </c>
      <c r="H441" s="275" t="s">
        <v>122</v>
      </c>
      <c r="I441" s="275" t="s">
        <v>123</v>
      </c>
      <c r="J441" s="282" t="s">
        <v>2979</v>
      </c>
      <c r="K441" s="283">
        <v>44575</v>
      </c>
      <c r="L441" s="283"/>
      <c r="M441" s="283">
        <v>44518</v>
      </c>
      <c r="N441" s="283">
        <v>44517</v>
      </c>
      <c r="O441" s="283">
        <v>44536</v>
      </c>
      <c r="P441" s="275" t="s">
        <v>7</v>
      </c>
      <c r="Q441" s="275" t="s">
        <v>25</v>
      </c>
      <c r="V441" s="275"/>
      <c r="X441" s="275"/>
      <c r="Y441" s="275"/>
      <c r="Z441" s="276" t="str">
        <f>VLOOKUP(功能_33[[#This Row],[User]],SKL放款!A:G,7,FALSE)</f>
        <v>放款管理課</v>
      </c>
      <c r="AA441" s="283">
        <v>44533</v>
      </c>
      <c r="AB441" s="283" t="s">
        <v>181</v>
      </c>
      <c r="AC441" s="283">
        <v>44540</v>
      </c>
      <c r="AD441" s="283">
        <v>44540</v>
      </c>
      <c r="AE441" s="215" t="s">
        <v>3008</v>
      </c>
      <c r="AF441" s="283"/>
      <c r="AG441" s="283"/>
      <c r="AH441" s="334"/>
      <c r="AI441" s="283">
        <f>IFERROR(IF(VLOOKUP(功能_33[[#This Row],[功能代號]],E:S,11,FALSE)=0,"",VLOOKUP(功能_33[[#This Row],[功能代號]],E:S,11,FALSE)),"")</f>
        <v>44536</v>
      </c>
      <c r="AJ441" s="283"/>
      <c r="AK441" s="283"/>
      <c r="AL441" s="276"/>
      <c r="AN441" s="275" t="s">
        <v>2623</v>
      </c>
      <c r="AQ441" s="507" t="str">
        <f t="shared" si="60"/>
        <v>8-3</v>
      </c>
      <c r="AR441" s="509" t="str">
        <f t="shared" si="61"/>
        <v/>
      </c>
      <c r="AS441" s="511" t="str">
        <f t="shared" si="62"/>
        <v/>
      </c>
      <c r="AT441" s="513" t="str">
        <f t="shared" si="63"/>
        <v/>
      </c>
      <c r="AU441" s="515" t="str">
        <f t="shared" si="64"/>
        <v/>
      </c>
      <c r="AV441" s="517" t="str">
        <f t="shared" si="65"/>
        <v/>
      </c>
      <c r="AW441" s="589" t="str">
        <f>IFERROR(VLOOKUP(功能_33[[#This Row],[功能代號]],SIT_FT!D:D,1,FALSE),"")</f>
        <v/>
      </c>
    </row>
    <row r="442" spans="3:49" ht="13.5" hidden="1" x14ac:dyDescent="0.3">
      <c r="C442" s="276" t="s">
        <v>84</v>
      </c>
      <c r="D442" s="276" t="s">
        <v>2494</v>
      </c>
      <c r="E442" s="275" t="s">
        <v>1166</v>
      </c>
      <c r="F442" s="276" t="s">
        <v>1167</v>
      </c>
      <c r="G442" s="276" t="s">
        <v>1119</v>
      </c>
      <c r="H442" s="275" t="s">
        <v>122</v>
      </c>
      <c r="I442" s="275" t="s">
        <v>123</v>
      </c>
      <c r="J442" s="282" t="s">
        <v>2979</v>
      </c>
      <c r="K442" s="283">
        <v>44575</v>
      </c>
      <c r="L442" s="283"/>
      <c r="M442" s="283">
        <v>44518</v>
      </c>
      <c r="N442" s="283">
        <v>44517</v>
      </c>
      <c r="O442" s="283">
        <v>44536</v>
      </c>
      <c r="P442" s="275" t="s">
        <v>7</v>
      </c>
      <c r="Q442" s="275" t="s">
        <v>25</v>
      </c>
      <c r="V442" s="275"/>
      <c r="X442" s="275"/>
      <c r="Y442" s="275"/>
      <c r="Z442" s="276" t="str">
        <f>VLOOKUP(功能_33[[#This Row],[User]],SKL放款!A:G,7,FALSE)</f>
        <v>放款管理課</v>
      </c>
      <c r="AA442" s="283">
        <v>44533</v>
      </c>
      <c r="AB442" s="283" t="s">
        <v>181</v>
      </c>
      <c r="AC442" s="283">
        <v>44540</v>
      </c>
      <c r="AD442" s="283">
        <v>44540</v>
      </c>
      <c r="AE442" s="215" t="s">
        <v>3008</v>
      </c>
      <c r="AF442" s="283"/>
      <c r="AG442" s="283"/>
      <c r="AH442" s="334"/>
      <c r="AI442" s="283">
        <f>IFERROR(IF(VLOOKUP(功能_33[[#This Row],[功能代號]],E:S,11,FALSE)=0,"",VLOOKUP(功能_33[[#This Row],[功能代號]],E:S,11,FALSE)),"")</f>
        <v>44536</v>
      </c>
      <c r="AJ442" s="283"/>
      <c r="AK442" s="283"/>
      <c r="AL442" s="276"/>
      <c r="AN442" s="275" t="s">
        <v>2623</v>
      </c>
      <c r="AQ442" s="507" t="str">
        <f t="shared" si="60"/>
        <v>8-3</v>
      </c>
      <c r="AR442" s="509" t="str">
        <f t="shared" si="61"/>
        <v/>
      </c>
      <c r="AS442" s="511" t="str">
        <f t="shared" si="62"/>
        <v/>
      </c>
      <c r="AT442" s="513" t="str">
        <f t="shared" si="63"/>
        <v/>
      </c>
      <c r="AU442" s="515" t="str">
        <f t="shared" si="64"/>
        <v/>
      </c>
      <c r="AV442" s="517" t="str">
        <f t="shared" si="65"/>
        <v/>
      </c>
      <c r="AW442" s="589" t="str">
        <f>IFERROR(VLOOKUP(功能_33[[#This Row],[功能代號]],SIT_FT!D:D,1,FALSE),"")</f>
        <v/>
      </c>
    </row>
    <row r="443" spans="3:49" ht="13.5" hidden="1" x14ac:dyDescent="0.3">
      <c r="C443" s="276" t="s">
        <v>84</v>
      </c>
      <c r="D443" s="276" t="s">
        <v>2494</v>
      </c>
      <c r="E443" s="275" t="s">
        <v>1168</v>
      </c>
      <c r="F443" s="276" t="s">
        <v>1169</v>
      </c>
      <c r="G443" s="276" t="s">
        <v>1119</v>
      </c>
      <c r="H443" s="275" t="s">
        <v>122</v>
      </c>
      <c r="I443" s="275" t="s">
        <v>123</v>
      </c>
      <c r="J443" s="282" t="s">
        <v>2979</v>
      </c>
      <c r="K443" s="283">
        <v>44575</v>
      </c>
      <c r="L443" s="283"/>
      <c r="M443" s="283">
        <v>44518</v>
      </c>
      <c r="N443" s="283">
        <v>44517</v>
      </c>
      <c r="O443" s="283">
        <v>44536</v>
      </c>
      <c r="P443" s="275" t="s">
        <v>7</v>
      </c>
      <c r="Q443" s="275" t="s">
        <v>25</v>
      </c>
      <c r="V443" s="275"/>
      <c r="X443" s="275"/>
      <c r="Y443" s="275"/>
      <c r="Z443" s="276" t="str">
        <f>VLOOKUP(功能_33[[#This Row],[User]],SKL放款!A:G,7,FALSE)</f>
        <v>放款管理課</v>
      </c>
      <c r="AA443" s="283">
        <v>44533</v>
      </c>
      <c r="AB443" s="283" t="s">
        <v>181</v>
      </c>
      <c r="AC443" s="283">
        <v>44540</v>
      </c>
      <c r="AD443" s="283">
        <v>44540</v>
      </c>
      <c r="AE443" s="215" t="s">
        <v>3008</v>
      </c>
      <c r="AF443" s="283"/>
      <c r="AG443" s="283"/>
      <c r="AH443" s="334"/>
      <c r="AI443" s="283">
        <f>IFERROR(IF(VLOOKUP(功能_33[[#This Row],[功能代號]],E:S,11,FALSE)=0,"",VLOOKUP(功能_33[[#This Row],[功能代號]],E:S,11,FALSE)),"")</f>
        <v>44536</v>
      </c>
      <c r="AJ443" s="283"/>
      <c r="AK443" s="283"/>
      <c r="AL443" s="276"/>
      <c r="AN443" s="275" t="s">
        <v>2623</v>
      </c>
      <c r="AQ443" s="507" t="str">
        <f t="shared" si="60"/>
        <v>8-3</v>
      </c>
      <c r="AR443" s="509" t="str">
        <f t="shared" si="61"/>
        <v/>
      </c>
      <c r="AS443" s="511" t="str">
        <f t="shared" si="62"/>
        <v/>
      </c>
      <c r="AT443" s="513" t="str">
        <f t="shared" si="63"/>
        <v/>
      </c>
      <c r="AU443" s="515" t="str">
        <f t="shared" si="64"/>
        <v/>
      </c>
      <c r="AV443" s="517" t="str">
        <f t="shared" si="65"/>
        <v/>
      </c>
      <c r="AW443" s="589" t="str">
        <f>IFERROR(VLOOKUP(功能_33[[#This Row],[功能代號]],SIT_FT!D:D,1,FALSE),"")</f>
        <v/>
      </c>
    </row>
    <row r="444" spans="3:49" ht="13.5" hidden="1" x14ac:dyDescent="0.3">
      <c r="C444" s="276" t="s">
        <v>84</v>
      </c>
      <c r="D444" s="276" t="s">
        <v>2494</v>
      </c>
      <c r="E444" s="275" t="s">
        <v>1170</v>
      </c>
      <c r="F444" s="276" t="s">
        <v>1171</v>
      </c>
      <c r="G444" s="276" t="s">
        <v>1119</v>
      </c>
      <c r="H444" s="275" t="s">
        <v>122</v>
      </c>
      <c r="I444" s="275" t="s">
        <v>123</v>
      </c>
      <c r="J444" s="282" t="s">
        <v>2979</v>
      </c>
      <c r="K444" s="283">
        <v>44575</v>
      </c>
      <c r="L444" s="283"/>
      <c r="M444" s="283">
        <v>44518</v>
      </c>
      <c r="N444" s="283">
        <v>44517</v>
      </c>
      <c r="O444" s="283">
        <v>44536</v>
      </c>
      <c r="P444" s="275" t="s">
        <v>7</v>
      </c>
      <c r="Q444" s="275" t="s">
        <v>25</v>
      </c>
      <c r="V444" s="275"/>
      <c r="X444" s="275"/>
      <c r="Y444" s="275"/>
      <c r="Z444" s="276" t="str">
        <f>VLOOKUP(功能_33[[#This Row],[User]],SKL放款!A:G,7,FALSE)</f>
        <v>放款管理課</v>
      </c>
      <c r="AA444" s="283">
        <v>44533</v>
      </c>
      <c r="AB444" s="283" t="s">
        <v>181</v>
      </c>
      <c r="AC444" s="283">
        <v>44540</v>
      </c>
      <c r="AD444" s="283">
        <v>44540</v>
      </c>
      <c r="AE444" s="215" t="s">
        <v>3008</v>
      </c>
      <c r="AF444" s="283"/>
      <c r="AG444" s="283"/>
      <c r="AH444" s="334"/>
      <c r="AI444" s="283">
        <f>IFERROR(IF(VLOOKUP(功能_33[[#This Row],[功能代號]],E:S,11,FALSE)=0,"",VLOOKUP(功能_33[[#This Row],[功能代號]],E:S,11,FALSE)),"")</f>
        <v>44536</v>
      </c>
      <c r="AJ444" s="283"/>
      <c r="AK444" s="283"/>
      <c r="AL444" s="276"/>
      <c r="AN444" s="275" t="s">
        <v>2623</v>
      </c>
      <c r="AQ444" s="507" t="str">
        <f t="shared" si="60"/>
        <v>8-3</v>
      </c>
      <c r="AR444" s="509" t="str">
        <f t="shared" si="61"/>
        <v/>
      </c>
      <c r="AS444" s="511" t="str">
        <f t="shared" si="62"/>
        <v/>
      </c>
      <c r="AT444" s="513" t="str">
        <f t="shared" si="63"/>
        <v/>
      </c>
      <c r="AU444" s="515" t="str">
        <f t="shared" si="64"/>
        <v/>
      </c>
      <c r="AV444" s="517" t="str">
        <f t="shared" si="65"/>
        <v/>
      </c>
      <c r="AW444" s="589" t="str">
        <f>IFERROR(VLOOKUP(功能_33[[#This Row],[功能代號]],SIT_FT!D:D,1,FALSE),"")</f>
        <v/>
      </c>
    </row>
    <row r="445" spans="3:49" ht="13.5" hidden="1" x14ac:dyDescent="0.3">
      <c r="C445" s="276" t="s">
        <v>84</v>
      </c>
      <c r="D445" s="276" t="s">
        <v>2494</v>
      </c>
      <c r="E445" s="275" t="s">
        <v>1172</v>
      </c>
      <c r="F445" s="276" t="s">
        <v>1173</v>
      </c>
      <c r="G445" s="276" t="s">
        <v>1119</v>
      </c>
      <c r="H445" s="275" t="s">
        <v>122</v>
      </c>
      <c r="I445" s="275" t="s">
        <v>123</v>
      </c>
      <c r="J445" s="282" t="s">
        <v>2979</v>
      </c>
      <c r="K445" s="283">
        <v>44575</v>
      </c>
      <c r="L445" s="283"/>
      <c r="M445" s="283">
        <v>44518</v>
      </c>
      <c r="N445" s="283">
        <v>44517</v>
      </c>
      <c r="O445" s="283">
        <v>44536</v>
      </c>
      <c r="P445" s="275" t="s">
        <v>7</v>
      </c>
      <c r="Q445" s="275" t="s">
        <v>25</v>
      </c>
      <c r="V445" s="275"/>
      <c r="X445" s="275"/>
      <c r="Y445" s="275"/>
      <c r="Z445" s="276" t="str">
        <f>VLOOKUP(功能_33[[#This Row],[User]],SKL放款!A:G,7,FALSE)</f>
        <v>放款管理課</v>
      </c>
      <c r="AA445" s="283">
        <v>44533</v>
      </c>
      <c r="AB445" s="283" t="s">
        <v>181</v>
      </c>
      <c r="AC445" s="283">
        <v>44540</v>
      </c>
      <c r="AD445" s="283">
        <v>44540</v>
      </c>
      <c r="AE445" s="215" t="s">
        <v>3008</v>
      </c>
      <c r="AF445" s="283"/>
      <c r="AG445" s="283"/>
      <c r="AH445" s="334"/>
      <c r="AI445" s="283">
        <f>IFERROR(IF(VLOOKUP(功能_33[[#This Row],[功能代號]],E:S,11,FALSE)=0,"",VLOOKUP(功能_33[[#This Row],[功能代號]],E:S,11,FALSE)),"")</f>
        <v>44536</v>
      </c>
      <c r="AJ445" s="283"/>
      <c r="AK445" s="283"/>
      <c r="AL445" s="276"/>
      <c r="AN445" s="275" t="s">
        <v>2623</v>
      </c>
      <c r="AQ445" s="507" t="str">
        <f t="shared" si="60"/>
        <v>8-3</v>
      </c>
      <c r="AR445" s="509" t="str">
        <f t="shared" si="61"/>
        <v/>
      </c>
      <c r="AS445" s="511" t="str">
        <f t="shared" si="62"/>
        <v/>
      </c>
      <c r="AT445" s="513" t="str">
        <f t="shared" si="63"/>
        <v/>
      </c>
      <c r="AU445" s="515" t="str">
        <f t="shared" si="64"/>
        <v/>
      </c>
      <c r="AV445" s="517" t="str">
        <f t="shared" si="65"/>
        <v/>
      </c>
      <c r="AW445" s="589" t="str">
        <f>IFERROR(VLOOKUP(功能_33[[#This Row],[功能代號]],SIT_FT!D:D,1,FALSE),"")</f>
        <v/>
      </c>
    </row>
    <row r="446" spans="3:49" ht="13.5" hidden="1" x14ac:dyDescent="0.3">
      <c r="C446" s="276" t="s">
        <v>84</v>
      </c>
      <c r="D446" s="276" t="s">
        <v>2494</v>
      </c>
      <c r="E446" s="275" t="s">
        <v>1174</v>
      </c>
      <c r="F446" s="276" t="s">
        <v>1175</v>
      </c>
      <c r="G446" s="276" t="s">
        <v>1119</v>
      </c>
      <c r="H446" s="275" t="s">
        <v>122</v>
      </c>
      <c r="I446" s="275" t="s">
        <v>123</v>
      </c>
      <c r="J446" s="282" t="s">
        <v>2979</v>
      </c>
      <c r="K446" s="283">
        <v>44575</v>
      </c>
      <c r="L446" s="283"/>
      <c r="M446" s="283">
        <v>44518</v>
      </c>
      <c r="N446" s="283">
        <v>44517</v>
      </c>
      <c r="O446" s="283">
        <v>44536</v>
      </c>
      <c r="P446" s="275" t="s">
        <v>7</v>
      </c>
      <c r="Q446" s="275" t="s">
        <v>25</v>
      </c>
      <c r="V446" s="275"/>
      <c r="X446" s="275"/>
      <c r="Y446" s="275"/>
      <c r="Z446" s="276" t="str">
        <f>VLOOKUP(功能_33[[#This Row],[User]],SKL放款!A:G,7,FALSE)</f>
        <v>放款管理課</v>
      </c>
      <c r="AA446" s="283">
        <v>44533</v>
      </c>
      <c r="AB446" s="283" t="s">
        <v>181</v>
      </c>
      <c r="AC446" s="283">
        <v>44540</v>
      </c>
      <c r="AD446" s="283">
        <v>44540</v>
      </c>
      <c r="AE446" s="215" t="s">
        <v>3008</v>
      </c>
      <c r="AF446" s="283"/>
      <c r="AG446" s="283"/>
      <c r="AH446" s="334"/>
      <c r="AI446" s="283">
        <f>IFERROR(IF(VLOOKUP(功能_33[[#This Row],[功能代號]],E:S,11,FALSE)=0,"",VLOOKUP(功能_33[[#This Row],[功能代號]],E:S,11,FALSE)),"")</f>
        <v>44536</v>
      </c>
      <c r="AJ446" s="283"/>
      <c r="AK446" s="283"/>
      <c r="AL446" s="276"/>
      <c r="AN446" s="275" t="s">
        <v>2623</v>
      </c>
      <c r="AQ446" s="507" t="str">
        <f t="shared" si="60"/>
        <v>8-3</v>
      </c>
      <c r="AR446" s="509" t="str">
        <f t="shared" si="61"/>
        <v/>
      </c>
      <c r="AS446" s="511" t="str">
        <f t="shared" si="62"/>
        <v/>
      </c>
      <c r="AT446" s="513" t="str">
        <f t="shared" si="63"/>
        <v/>
      </c>
      <c r="AU446" s="515" t="str">
        <f t="shared" si="64"/>
        <v/>
      </c>
      <c r="AV446" s="517" t="str">
        <f t="shared" si="65"/>
        <v/>
      </c>
      <c r="AW446" s="589" t="str">
        <f>IFERROR(VLOOKUP(功能_33[[#This Row],[功能代號]],SIT_FT!D:D,1,FALSE),"")</f>
        <v/>
      </c>
    </row>
    <row r="447" spans="3:49" ht="13.5" hidden="1" x14ac:dyDescent="0.3">
      <c r="C447" s="276" t="s">
        <v>84</v>
      </c>
      <c r="D447" s="276" t="s">
        <v>2494</v>
      </c>
      <c r="E447" s="275" t="s">
        <v>1176</v>
      </c>
      <c r="F447" s="276" t="s">
        <v>1177</v>
      </c>
      <c r="G447" s="276" t="s">
        <v>1119</v>
      </c>
      <c r="H447" s="275" t="s">
        <v>122</v>
      </c>
      <c r="I447" s="275" t="s">
        <v>123</v>
      </c>
      <c r="J447" s="282" t="s">
        <v>2979</v>
      </c>
      <c r="K447" s="283">
        <v>44575</v>
      </c>
      <c r="L447" s="283"/>
      <c r="M447" s="283">
        <v>44518</v>
      </c>
      <c r="N447" s="283">
        <v>44517</v>
      </c>
      <c r="O447" s="283">
        <v>44536</v>
      </c>
      <c r="P447" s="275" t="s">
        <v>7</v>
      </c>
      <c r="Q447" s="275" t="s">
        <v>25</v>
      </c>
      <c r="V447" s="275"/>
      <c r="X447" s="275"/>
      <c r="Y447" s="275"/>
      <c r="Z447" s="276" t="str">
        <f>VLOOKUP(功能_33[[#This Row],[User]],SKL放款!A:G,7,FALSE)</f>
        <v>放款管理課</v>
      </c>
      <c r="AA447" s="283">
        <v>44533</v>
      </c>
      <c r="AB447" s="283" t="s">
        <v>181</v>
      </c>
      <c r="AC447" s="283">
        <v>44540</v>
      </c>
      <c r="AD447" s="283">
        <v>44540</v>
      </c>
      <c r="AE447" s="215" t="s">
        <v>3008</v>
      </c>
      <c r="AF447" s="283"/>
      <c r="AG447" s="283"/>
      <c r="AH447" s="334"/>
      <c r="AI447" s="283">
        <f>IFERROR(IF(VLOOKUP(功能_33[[#This Row],[功能代號]],E:S,11,FALSE)=0,"",VLOOKUP(功能_33[[#This Row],[功能代號]],E:S,11,FALSE)),"")</f>
        <v>44536</v>
      </c>
      <c r="AJ447" s="283"/>
      <c r="AK447" s="283"/>
      <c r="AL447" s="276"/>
      <c r="AN447" s="275" t="s">
        <v>2623</v>
      </c>
      <c r="AQ447" s="507" t="str">
        <f t="shared" si="60"/>
        <v>8-3</v>
      </c>
      <c r="AR447" s="509" t="str">
        <f t="shared" si="61"/>
        <v/>
      </c>
      <c r="AS447" s="511" t="str">
        <f t="shared" si="62"/>
        <v/>
      </c>
      <c r="AT447" s="513" t="str">
        <f t="shared" si="63"/>
        <v/>
      </c>
      <c r="AU447" s="515" t="str">
        <f t="shared" si="64"/>
        <v/>
      </c>
      <c r="AV447" s="517" t="str">
        <f t="shared" si="65"/>
        <v/>
      </c>
      <c r="AW447" s="589" t="str">
        <f>IFERROR(VLOOKUP(功能_33[[#This Row],[功能代號]],SIT_FT!D:D,1,FALSE),"")</f>
        <v/>
      </c>
    </row>
    <row r="448" spans="3:49" ht="13.5" hidden="1" x14ac:dyDescent="0.3">
      <c r="C448" s="276" t="s">
        <v>84</v>
      </c>
      <c r="D448" s="276" t="s">
        <v>2494</v>
      </c>
      <c r="E448" s="275" t="s">
        <v>1178</v>
      </c>
      <c r="F448" s="276" t="s">
        <v>1179</v>
      </c>
      <c r="G448" s="276" t="s">
        <v>1119</v>
      </c>
      <c r="H448" s="275" t="s">
        <v>122</v>
      </c>
      <c r="I448" s="275" t="s">
        <v>123</v>
      </c>
      <c r="J448" s="282" t="s">
        <v>2979</v>
      </c>
      <c r="K448" s="283">
        <v>44575</v>
      </c>
      <c r="L448" s="283"/>
      <c r="M448" s="283">
        <v>44518</v>
      </c>
      <c r="N448" s="283">
        <v>44517</v>
      </c>
      <c r="O448" s="283">
        <v>44536</v>
      </c>
      <c r="P448" s="275" t="s">
        <v>7</v>
      </c>
      <c r="Q448" s="275" t="s">
        <v>25</v>
      </c>
      <c r="V448" s="275"/>
      <c r="X448" s="275"/>
      <c r="Y448" s="275"/>
      <c r="Z448" s="276" t="str">
        <f>VLOOKUP(功能_33[[#This Row],[User]],SKL放款!A:G,7,FALSE)</f>
        <v>放款管理課</v>
      </c>
      <c r="AA448" s="283">
        <v>44533</v>
      </c>
      <c r="AB448" s="283" t="s">
        <v>181</v>
      </c>
      <c r="AC448" s="283">
        <v>44540</v>
      </c>
      <c r="AD448" s="283">
        <v>44540</v>
      </c>
      <c r="AE448" s="215" t="s">
        <v>3008</v>
      </c>
      <c r="AF448" s="283"/>
      <c r="AG448" s="283"/>
      <c r="AH448" s="334"/>
      <c r="AI448" s="283">
        <f>IFERROR(IF(VLOOKUP(功能_33[[#This Row],[功能代號]],E:S,11,FALSE)=0,"",VLOOKUP(功能_33[[#This Row],[功能代號]],E:S,11,FALSE)),"")</f>
        <v>44536</v>
      </c>
      <c r="AJ448" s="283"/>
      <c r="AK448" s="283"/>
      <c r="AL448" s="276"/>
      <c r="AN448" s="275" t="s">
        <v>2623</v>
      </c>
      <c r="AQ448" s="507" t="str">
        <f t="shared" si="60"/>
        <v>8-3</v>
      </c>
      <c r="AR448" s="509" t="str">
        <f t="shared" si="61"/>
        <v/>
      </c>
      <c r="AS448" s="511" t="str">
        <f t="shared" si="62"/>
        <v/>
      </c>
      <c r="AT448" s="513" t="str">
        <f t="shared" si="63"/>
        <v/>
      </c>
      <c r="AU448" s="515" t="str">
        <f t="shared" si="64"/>
        <v/>
      </c>
      <c r="AV448" s="517" t="str">
        <f t="shared" si="65"/>
        <v/>
      </c>
      <c r="AW448" s="589" t="str">
        <f>IFERROR(VLOOKUP(功能_33[[#This Row],[功能代號]],SIT_FT!D:D,1,FALSE),"")</f>
        <v/>
      </c>
    </row>
    <row r="449" spans="3:49" ht="13.5" hidden="1" x14ac:dyDescent="0.3">
      <c r="C449" s="276" t="s">
        <v>84</v>
      </c>
      <c r="D449" s="276" t="s">
        <v>2494</v>
      </c>
      <c r="E449" s="275" t="s">
        <v>1180</v>
      </c>
      <c r="F449" s="276" t="s">
        <v>1181</v>
      </c>
      <c r="G449" s="276" t="s">
        <v>1119</v>
      </c>
      <c r="H449" s="275" t="s">
        <v>122</v>
      </c>
      <c r="I449" s="275" t="s">
        <v>123</v>
      </c>
      <c r="J449" s="282" t="s">
        <v>2979</v>
      </c>
      <c r="K449" s="283">
        <v>44575</v>
      </c>
      <c r="L449" s="283"/>
      <c r="M449" s="283">
        <v>44518</v>
      </c>
      <c r="N449" s="283">
        <v>44517</v>
      </c>
      <c r="O449" s="283">
        <v>44536</v>
      </c>
      <c r="P449" s="275" t="s">
        <v>7</v>
      </c>
      <c r="Q449" s="275" t="s">
        <v>25</v>
      </c>
      <c r="V449" s="275"/>
      <c r="X449" s="275"/>
      <c r="Y449" s="275"/>
      <c r="Z449" s="276" t="str">
        <f>VLOOKUP(功能_33[[#This Row],[User]],SKL放款!A:G,7,FALSE)</f>
        <v>放款管理課</v>
      </c>
      <c r="AA449" s="283">
        <v>44533</v>
      </c>
      <c r="AB449" s="283" t="s">
        <v>181</v>
      </c>
      <c r="AC449" s="283">
        <v>44540</v>
      </c>
      <c r="AD449" s="283">
        <v>44540</v>
      </c>
      <c r="AE449" s="215" t="s">
        <v>3008</v>
      </c>
      <c r="AF449" s="283"/>
      <c r="AG449" s="283"/>
      <c r="AH449" s="334"/>
      <c r="AI449" s="283">
        <f>IFERROR(IF(VLOOKUP(功能_33[[#This Row],[功能代號]],E:S,11,FALSE)=0,"",VLOOKUP(功能_33[[#This Row],[功能代號]],E:S,11,FALSE)),"")</f>
        <v>44536</v>
      </c>
      <c r="AJ449" s="283"/>
      <c r="AK449" s="283"/>
      <c r="AL449" s="276"/>
      <c r="AN449" s="275" t="s">
        <v>2623</v>
      </c>
      <c r="AQ449" s="507" t="str">
        <f t="shared" si="60"/>
        <v>8-3</v>
      </c>
      <c r="AR449" s="509" t="str">
        <f t="shared" si="61"/>
        <v/>
      </c>
      <c r="AS449" s="511" t="str">
        <f t="shared" si="62"/>
        <v/>
      </c>
      <c r="AT449" s="513" t="str">
        <f t="shared" si="63"/>
        <v/>
      </c>
      <c r="AU449" s="515" t="str">
        <f t="shared" si="64"/>
        <v/>
      </c>
      <c r="AV449" s="517" t="str">
        <f t="shared" si="65"/>
        <v/>
      </c>
      <c r="AW449" s="589" t="str">
        <f>IFERROR(VLOOKUP(功能_33[[#This Row],[功能代號]],SIT_FT!D:D,1,FALSE),"")</f>
        <v/>
      </c>
    </row>
    <row r="450" spans="3:49" ht="13.5" hidden="1" x14ac:dyDescent="0.3">
      <c r="C450" s="276" t="s">
        <v>84</v>
      </c>
      <c r="D450" s="276" t="s">
        <v>2494</v>
      </c>
      <c r="E450" s="275" t="s">
        <v>1182</v>
      </c>
      <c r="F450" s="276" t="s">
        <v>1183</v>
      </c>
      <c r="G450" s="276" t="s">
        <v>1119</v>
      </c>
      <c r="H450" s="275" t="s">
        <v>122</v>
      </c>
      <c r="I450" s="275" t="s">
        <v>123</v>
      </c>
      <c r="J450" s="282" t="s">
        <v>2979</v>
      </c>
      <c r="K450" s="283">
        <v>44575</v>
      </c>
      <c r="L450" s="283"/>
      <c r="M450" s="283">
        <v>44519</v>
      </c>
      <c r="N450" s="283">
        <v>44517</v>
      </c>
      <c r="O450" s="283">
        <v>44533</v>
      </c>
      <c r="P450" s="275" t="s">
        <v>7</v>
      </c>
      <c r="Q450" s="275" t="s">
        <v>25</v>
      </c>
      <c r="V450" s="275"/>
      <c r="X450" s="275"/>
      <c r="Y450" s="275"/>
      <c r="Z450" s="276" t="str">
        <f>VLOOKUP(功能_33[[#This Row],[User]],SKL放款!A:G,7,FALSE)</f>
        <v>放款管理課</v>
      </c>
      <c r="AA450" s="283">
        <v>44533</v>
      </c>
      <c r="AB450" s="283" t="s">
        <v>119</v>
      </c>
      <c r="AC450" s="283">
        <v>44540</v>
      </c>
      <c r="AD450" s="283">
        <v>44540</v>
      </c>
      <c r="AE450" s="215" t="s">
        <v>3008</v>
      </c>
      <c r="AF450" s="283"/>
      <c r="AG450" s="283"/>
      <c r="AH450" s="334"/>
      <c r="AI450" s="283">
        <f>IFERROR(IF(VLOOKUP(功能_33[[#This Row],[功能代號]],E:S,11,FALSE)=0,"",VLOOKUP(功能_33[[#This Row],[功能代號]],E:S,11,FALSE)),"")</f>
        <v>44533</v>
      </c>
      <c r="AJ450" s="283"/>
      <c r="AK450" s="283"/>
      <c r="AL450" s="276"/>
      <c r="AN450" s="275" t="s">
        <v>2623</v>
      </c>
      <c r="AQ450" s="507" t="str">
        <f t="shared" si="60"/>
        <v>8-3</v>
      </c>
      <c r="AR450" s="509" t="str">
        <f t="shared" si="61"/>
        <v/>
      </c>
      <c r="AS450" s="511" t="str">
        <f t="shared" si="62"/>
        <v/>
      </c>
      <c r="AT450" s="513" t="str">
        <f t="shared" si="63"/>
        <v/>
      </c>
      <c r="AU450" s="515" t="str">
        <f t="shared" si="64"/>
        <v/>
      </c>
      <c r="AV450" s="517" t="str">
        <f t="shared" si="65"/>
        <v/>
      </c>
      <c r="AW450" s="589" t="str">
        <f>IFERROR(VLOOKUP(功能_33[[#This Row],[功能代號]],SIT_FT!D:D,1,FALSE),"")</f>
        <v/>
      </c>
    </row>
    <row r="451" spans="3:49" ht="13.5" hidden="1" x14ac:dyDescent="0.3">
      <c r="C451" s="276" t="s">
        <v>84</v>
      </c>
      <c r="D451" s="276" t="s">
        <v>2494</v>
      </c>
      <c r="E451" s="275" t="s">
        <v>1184</v>
      </c>
      <c r="F451" s="276" t="s">
        <v>1185</v>
      </c>
      <c r="G451" s="276" t="s">
        <v>1119</v>
      </c>
      <c r="H451" s="275" t="s">
        <v>122</v>
      </c>
      <c r="I451" s="275" t="s">
        <v>123</v>
      </c>
      <c r="J451" s="282" t="s">
        <v>2979</v>
      </c>
      <c r="K451" s="283">
        <v>44575</v>
      </c>
      <c r="L451" s="283"/>
      <c r="M451" s="283">
        <v>44519</v>
      </c>
      <c r="N451" s="283">
        <v>44517</v>
      </c>
      <c r="O451" s="283">
        <v>44536</v>
      </c>
      <c r="P451" s="275" t="s">
        <v>7</v>
      </c>
      <c r="Q451" s="275" t="s">
        <v>25</v>
      </c>
      <c r="V451" s="275"/>
      <c r="X451" s="275"/>
      <c r="Y451" s="275"/>
      <c r="Z451" s="276" t="str">
        <f>VLOOKUP(功能_33[[#This Row],[User]],SKL放款!A:G,7,FALSE)</f>
        <v>放款管理課</v>
      </c>
      <c r="AA451" s="283">
        <v>44533</v>
      </c>
      <c r="AB451" s="283" t="s">
        <v>181</v>
      </c>
      <c r="AC451" s="283">
        <v>44540</v>
      </c>
      <c r="AD451" s="283">
        <v>44540</v>
      </c>
      <c r="AE451" s="215" t="s">
        <v>3008</v>
      </c>
      <c r="AF451" s="283"/>
      <c r="AG451" s="283"/>
      <c r="AH451" s="334"/>
      <c r="AI451" s="283">
        <f>IFERROR(IF(VLOOKUP(功能_33[[#This Row],[功能代號]],E:S,11,FALSE)=0,"",VLOOKUP(功能_33[[#This Row],[功能代號]],E:S,11,FALSE)),"")</f>
        <v>44536</v>
      </c>
      <c r="AJ451" s="283"/>
      <c r="AK451" s="283"/>
      <c r="AL451" s="276"/>
      <c r="AN451" s="275" t="s">
        <v>2623</v>
      </c>
      <c r="AQ451" s="507" t="str">
        <f t="shared" si="60"/>
        <v>8-3</v>
      </c>
      <c r="AR451" s="509" t="str">
        <f t="shared" si="61"/>
        <v/>
      </c>
      <c r="AS451" s="511" t="str">
        <f t="shared" si="62"/>
        <v/>
      </c>
      <c r="AT451" s="513" t="str">
        <f t="shared" si="63"/>
        <v/>
      </c>
      <c r="AU451" s="515" t="str">
        <f t="shared" si="64"/>
        <v/>
      </c>
      <c r="AV451" s="517" t="str">
        <f t="shared" si="65"/>
        <v/>
      </c>
      <c r="AW451" s="589" t="str">
        <f>IFERROR(VLOOKUP(功能_33[[#This Row],[功能代號]],SIT_FT!D:D,1,FALSE),"")</f>
        <v/>
      </c>
    </row>
    <row r="452" spans="3:49" ht="13.5" hidden="1" x14ac:dyDescent="0.3">
      <c r="C452" s="276" t="s">
        <v>84</v>
      </c>
      <c r="D452" s="276" t="s">
        <v>2494</v>
      </c>
      <c r="E452" s="275" t="s">
        <v>1186</v>
      </c>
      <c r="F452" s="276" t="s">
        <v>1187</v>
      </c>
      <c r="G452" s="276" t="s">
        <v>1119</v>
      </c>
      <c r="H452" s="275" t="s">
        <v>122</v>
      </c>
      <c r="I452" s="275" t="s">
        <v>123</v>
      </c>
      <c r="J452" s="282" t="s">
        <v>2979</v>
      </c>
      <c r="K452" s="283">
        <v>44575</v>
      </c>
      <c r="L452" s="283"/>
      <c r="M452" s="283">
        <v>44519</v>
      </c>
      <c r="N452" s="283">
        <v>44517</v>
      </c>
      <c r="O452" s="283">
        <v>44536</v>
      </c>
      <c r="P452" s="275" t="s">
        <v>7</v>
      </c>
      <c r="Q452" s="275" t="s">
        <v>25</v>
      </c>
      <c r="V452" s="275"/>
      <c r="X452" s="275"/>
      <c r="Y452" s="275"/>
      <c r="Z452" s="276" t="str">
        <f>VLOOKUP(功能_33[[#This Row],[User]],SKL放款!A:G,7,FALSE)</f>
        <v>放款管理課</v>
      </c>
      <c r="AA452" s="283">
        <v>44533</v>
      </c>
      <c r="AB452" s="283" t="s">
        <v>181</v>
      </c>
      <c r="AC452" s="283">
        <v>44540</v>
      </c>
      <c r="AD452" s="283">
        <v>44540</v>
      </c>
      <c r="AE452" s="215" t="s">
        <v>3008</v>
      </c>
      <c r="AF452" s="283"/>
      <c r="AG452" s="283"/>
      <c r="AH452" s="334"/>
      <c r="AI452" s="283">
        <f>IFERROR(IF(VLOOKUP(功能_33[[#This Row],[功能代號]],E:S,11,FALSE)=0,"",VLOOKUP(功能_33[[#This Row],[功能代號]],E:S,11,FALSE)),"")</f>
        <v>44536</v>
      </c>
      <c r="AJ452" s="283"/>
      <c r="AK452" s="283"/>
      <c r="AL452" s="276"/>
      <c r="AN452" s="275" t="s">
        <v>2623</v>
      </c>
      <c r="AQ452" s="507" t="str">
        <f t="shared" si="60"/>
        <v>8-3</v>
      </c>
      <c r="AR452" s="509" t="str">
        <f t="shared" si="61"/>
        <v/>
      </c>
      <c r="AS452" s="511" t="str">
        <f t="shared" si="62"/>
        <v/>
      </c>
      <c r="AT452" s="513" t="str">
        <f t="shared" si="63"/>
        <v/>
      </c>
      <c r="AU452" s="515" t="str">
        <f t="shared" si="64"/>
        <v/>
      </c>
      <c r="AV452" s="517" t="str">
        <f t="shared" si="65"/>
        <v/>
      </c>
      <c r="AW452" s="589" t="str">
        <f>IFERROR(VLOOKUP(功能_33[[#This Row],[功能代號]],SIT_FT!D:D,1,FALSE),"")</f>
        <v/>
      </c>
    </row>
    <row r="453" spans="3:49" ht="13.5" hidden="1" x14ac:dyDescent="0.3">
      <c r="C453" s="276" t="s">
        <v>84</v>
      </c>
      <c r="D453" s="276" t="s">
        <v>2494</v>
      </c>
      <c r="E453" s="275" t="s">
        <v>1188</v>
      </c>
      <c r="F453" s="276" t="s">
        <v>1189</v>
      </c>
      <c r="G453" s="276" t="s">
        <v>1119</v>
      </c>
      <c r="H453" s="275" t="s">
        <v>122</v>
      </c>
      <c r="I453" s="275" t="s">
        <v>123</v>
      </c>
      <c r="J453" s="282" t="s">
        <v>2979</v>
      </c>
      <c r="K453" s="283">
        <v>44575</v>
      </c>
      <c r="L453" s="283"/>
      <c r="M453" s="283">
        <v>44519</v>
      </c>
      <c r="N453" s="283">
        <v>44517</v>
      </c>
      <c r="O453" s="283">
        <v>44536</v>
      </c>
      <c r="P453" s="275" t="s">
        <v>7</v>
      </c>
      <c r="Q453" s="275" t="s">
        <v>25</v>
      </c>
      <c r="V453" s="275"/>
      <c r="X453" s="275"/>
      <c r="Y453" s="275"/>
      <c r="Z453" s="276" t="str">
        <f>VLOOKUP(功能_33[[#This Row],[User]],SKL放款!A:G,7,FALSE)</f>
        <v>放款管理課</v>
      </c>
      <c r="AA453" s="283">
        <v>44533</v>
      </c>
      <c r="AB453" s="283" t="s">
        <v>181</v>
      </c>
      <c r="AC453" s="283">
        <v>44540</v>
      </c>
      <c r="AD453" s="283">
        <v>44540</v>
      </c>
      <c r="AE453" s="215" t="s">
        <v>3008</v>
      </c>
      <c r="AF453" s="283"/>
      <c r="AG453" s="283"/>
      <c r="AH453" s="334"/>
      <c r="AI453" s="283">
        <f>IFERROR(IF(VLOOKUP(功能_33[[#This Row],[功能代號]],E:S,11,FALSE)=0,"",VLOOKUP(功能_33[[#This Row],[功能代號]],E:S,11,FALSE)),"")</f>
        <v>44536</v>
      </c>
      <c r="AJ453" s="283"/>
      <c r="AK453" s="283"/>
      <c r="AL453" s="276"/>
      <c r="AN453" s="275" t="s">
        <v>2623</v>
      </c>
      <c r="AQ453" s="507" t="str">
        <f t="shared" si="60"/>
        <v>8-3</v>
      </c>
      <c r="AR453" s="509" t="str">
        <f t="shared" si="61"/>
        <v/>
      </c>
      <c r="AS453" s="511" t="str">
        <f t="shared" si="62"/>
        <v/>
      </c>
      <c r="AT453" s="513" t="str">
        <f t="shared" si="63"/>
        <v/>
      </c>
      <c r="AU453" s="515" t="str">
        <f t="shared" si="64"/>
        <v/>
      </c>
      <c r="AV453" s="517" t="str">
        <f t="shared" si="65"/>
        <v/>
      </c>
      <c r="AW453" s="589" t="str">
        <f>IFERROR(VLOOKUP(功能_33[[#This Row],[功能代號]],SIT_FT!D:D,1,FALSE),"")</f>
        <v/>
      </c>
    </row>
    <row r="454" spans="3:49" ht="13.5" hidden="1" x14ac:dyDescent="0.3">
      <c r="C454" s="276" t="s">
        <v>84</v>
      </c>
      <c r="D454" s="276" t="s">
        <v>2494</v>
      </c>
      <c r="E454" s="275" t="s">
        <v>1190</v>
      </c>
      <c r="F454" s="276" t="s">
        <v>1191</v>
      </c>
      <c r="G454" s="276" t="s">
        <v>1119</v>
      </c>
      <c r="H454" s="275" t="s">
        <v>122</v>
      </c>
      <c r="I454" s="275" t="s">
        <v>123</v>
      </c>
      <c r="J454" s="282" t="s">
        <v>2979</v>
      </c>
      <c r="K454" s="283">
        <v>44575</v>
      </c>
      <c r="L454" s="283"/>
      <c r="M454" s="283">
        <v>44519</v>
      </c>
      <c r="N454" s="283">
        <v>44517</v>
      </c>
      <c r="O454" s="283">
        <v>44536</v>
      </c>
      <c r="P454" s="275" t="s">
        <v>7</v>
      </c>
      <c r="Q454" s="275" t="s">
        <v>25</v>
      </c>
      <c r="V454" s="275"/>
      <c r="X454" s="275"/>
      <c r="Y454" s="275"/>
      <c r="Z454" s="276" t="str">
        <f>VLOOKUP(功能_33[[#This Row],[User]],SKL放款!A:G,7,FALSE)</f>
        <v>放款管理課</v>
      </c>
      <c r="AA454" s="283">
        <v>44533</v>
      </c>
      <c r="AB454" s="283" t="s">
        <v>181</v>
      </c>
      <c r="AC454" s="283">
        <v>44540</v>
      </c>
      <c r="AD454" s="283">
        <v>44540</v>
      </c>
      <c r="AE454" s="215" t="s">
        <v>3008</v>
      </c>
      <c r="AF454" s="283"/>
      <c r="AG454" s="283"/>
      <c r="AH454" s="334"/>
      <c r="AI454" s="283">
        <f>IFERROR(IF(VLOOKUP(功能_33[[#This Row],[功能代號]],E:S,11,FALSE)=0,"",VLOOKUP(功能_33[[#This Row],[功能代號]],E:S,11,FALSE)),"")</f>
        <v>44536</v>
      </c>
      <c r="AJ454" s="283"/>
      <c r="AK454" s="283"/>
      <c r="AL454" s="276"/>
      <c r="AN454" s="275" t="s">
        <v>2623</v>
      </c>
      <c r="AQ454" s="507" t="str">
        <f t="shared" si="60"/>
        <v>8-3</v>
      </c>
      <c r="AR454" s="509" t="str">
        <f t="shared" si="61"/>
        <v/>
      </c>
      <c r="AS454" s="511" t="str">
        <f t="shared" si="62"/>
        <v/>
      </c>
      <c r="AT454" s="513" t="str">
        <f t="shared" si="63"/>
        <v/>
      </c>
      <c r="AU454" s="515" t="str">
        <f t="shared" si="64"/>
        <v/>
      </c>
      <c r="AV454" s="517" t="str">
        <f t="shared" si="65"/>
        <v/>
      </c>
      <c r="AW454" s="589" t="str">
        <f>IFERROR(VLOOKUP(功能_33[[#This Row],[功能代號]],SIT_FT!D:D,1,FALSE),"")</f>
        <v/>
      </c>
    </row>
    <row r="455" spans="3:49" ht="13.5" hidden="1" x14ac:dyDescent="0.3">
      <c r="C455" s="276" t="s">
        <v>84</v>
      </c>
      <c r="D455" s="276" t="s">
        <v>2494</v>
      </c>
      <c r="E455" s="275" t="s">
        <v>1192</v>
      </c>
      <c r="F455" s="276" t="s">
        <v>1193</v>
      </c>
      <c r="G455" s="276" t="s">
        <v>1119</v>
      </c>
      <c r="H455" s="275" t="s">
        <v>122</v>
      </c>
      <c r="I455" s="275" t="s">
        <v>123</v>
      </c>
      <c r="J455" s="282" t="s">
        <v>2979</v>
      </c>
      <c r="K455" s="283">
        <v>44575</v>
      </c>
      <c r="L455" s="283"/>
      <c r="M455" s="283">
        <v>44519</v>
      </c>
      <c r="N455" s="283">
        <v>44517</v>
      </c>
      <c r="O455" s="283">
        <v>44536</v>
      </c>
      <c r="P455" s="275" t="s">
        <v>7</v>
      </c>
      <c r="Q455" s="275" t="s">
        <v>25</v>
      </c>
      <c r="V455" s="275"/>
      <c r="X455" s="275"/>
      <c r="Y455" s="275"/>
      <c r="Z455" s="276" t="str">
        <f>VLOOKUP(功能_33[[#This Row],[User]],SKL放款!A:G,7,FALSE)</f>
        <v>放款管理課</v>
      </c>
      <c r="AA455" s="283">
        <v>44533</v>
      </c>
      <c r="AB455" s="283" t="s">
        <v>181</v>
      </c>
      <c r="AC455" s="283">
        <v>44540</v>
      </c>
      <c r="AD455" s="283">
        <v>44540</v>
      </c>
      <c r="AE455" s="215" t="s">
        <v>3008</v>
      </c>
      <c r="AF455" s="283"/>
      <c r="AG455" s="283"/>
      <c r="AH455" s="334"/>
      <c r="AI455" s="283">
        <f>IFERROR(IF(VLOOKUP(功能_33[[#This Row],[功能代號]],E:S,11,FALSE)=0,"",VLOOKUP(功能_33[[#This Row],[功能代號]],E:S,11,FALSE)),"")</f>
        <v>44536</v>
      </c>
      <c r="AJ455" s="283"/>
      <c r="AK455" s="283"/>
      <c r="AL455" s="276"/>
      <c r="AN455" s="275" t="s">
        <v>2623</v>
      </c>
      <c r="AQ455" s="507" t="str">
        <f t="shared" si="60"/>
        <v>8-3</v>
      </c>
      <c r="AR455" s="509" t="str">
        <f t="shared" si="61"/>
        <v/>
      </c>
      <c r="AS455" s="511" t="str">
        <f t="shared" si="62"/>
        <v/>
      </c>
      <c r="AT455" s="513" t="str">
        <f t="shared" si="63"/>
        <v/>
      </c>
      <c r="AU455" s="515" t="str">
        <f t="shared" si="64"/>
        <v/>
      </c>
      <c r="AV455" s="517" t="str">
        <f t="shared" si="65"/>
        <v/>
      </c>
      <c r="AW455" s="589" t="str">
        <f>IFERROR(VLOOKUP(功能_33[[#This Row],[功能代號]],SIT_FT!D:D,1,FALSE),"")</f>
        <v/>
      </c>
    </row>
    <row r="456" spans="3:49" ht="13.5" hidden="1" x14ac:dyDescent="0.3">
      <c r="C456" s="276" t="s">
        <v>84</v>
      </c>
      <c r="D456" s="276" t="s">
        <v>2494</v>
      </c>
      <c r="E456" s="275" t="s">
        <v>1194</v>
      </c>
      <c r="F456" s="276" t="s">
        <v>1195</v>
      </c>
      <c r="G456" s="276" t="s">
        <v>1119</v>
      </c>
      <c r="H456" s="275" t="s">
        <v>122</v>
      </c>
      <c r="I456" s="275" t="s">
        <v>123</v>
      </c>
      <c r="J456" s="282" t="s">
        <v>2979</v>
      </c>
      <c r="K456" s="283">
        <v>44589</v>
      </c>
      <c r="L456" s="283"/>
      <c r="M456" s="283">
        <v>44515</v>
      </c>
      <c r="N456" s="283">
        <v>44517</v>
      </c>
      <c r="O456" s="283">
        <v>44545</v>
      </c>
      <c r="P456" s="275" t="s">
        <v>7</v>
      </c>
      <c r="Q456" s="275" t="s">
        <v>25</v>
      </c>
      <c r="V456" s="275"/>
      <c r="X456" s="275"/>
      <c r="Y456" s="275"/>
      <c r="Z456" s="276" t="str">
        <f>VLOOKUP(功能_33[[#This Row],[User]],SKL放款!A:G,7,FALSE)</f>
        <v>放款管理課</v>
      </c>
      <c r="AA456" s="283">
        <v>44545</v>
      </c>
      <c r="AB456" s="283" t="s">
        <v>2408</v>
      </c>
      <c r="AC456" s="283">
        <v>44540</v>
      </c>
      <c r="AD456" s="283">
        <v>44540</v>
      </c>
      <c r="AE456" s="215" t="s">
        <v>3008</v>
      </c>
      <c r="AF456" s="283"/>
      <c r="AG456" s="283"/>
      <c r="AH456" s="334"/>
      <c r="AI456" s="283">
        <f>IFERROR(IF(VLOOKUP(功能_33[[#This Row],[功能代號]],E:S,11,FALSE)=0,"",VLOOKUP(功能_33[[#This Row],[功能代號]],E:S,11,FALSE)),"")</f>
        <v>44545</v>
      </c>
      <c r="AJ456" s="283"/>
      <c r="AK456" s="283"/>
      <c r="AL456" s="276"/>
      <c r="AN456" s="275" t="s">
        <v>2700</v>
      </c>
      <c r="AO456" s="276" t="s">
        <v>2811</v>
      </c>
      <c r="AQ456" s="507" t="str">
        <f t="shared" si="60"/>
        <v>8-3</v>
      </c>
      <c r="AR456" s="509" t="str">
        <f t="shared" si="61"/>
        <v/>
      </c>
      <c r="AS456" s="511" t="str">
        <f t="shared" si="62"/>
        <v/>
      </c>
      <c r="AT456" s="513" t="str">
        <f t="shared" si="63"/>
        <v/>
      </c>
      <c r="AU456" s="515" t="str">
        <f t="shared" si="64"/>
        <v/>
      </c>
      <c r="AV456" s="517" t="str">
        <f t="shared" si="65"/>
        <v/>
      </c>
      <c r="AW456" s="589" t="str">
        <f>IFERROR(VLOOKUP(功能_33[[#This Row],[功能代號]],SIT_FT!D:D,1,FALSE),"")</f>
        <v/>
      </c>
    </row>
    <row r="457" spans="3:49" ht="13.5" hidden="1" x14ac:dyDescent="0.3">
      <c r="C457" s="276" t="s">
        <v>84</v>
      </c>
      <c r="D457" s="276" t="s">
        <v>2494</v>
      </c>
      <c r="E457" s="275" t="s">
        <v>1196</v>
      </c>
      <c r="F457" s="276" t="s">
        <v>1197</v>
      </c>
      <c r="G457" s="276" t="s">
        <v>1119</v>
      </c>
      <c r="H457" s="275" t="s">
        <v>122</v>
      </c>
      <c r="I457" s="275" t="s">
        <v>123</v>
      </c>
      <c r="J457" s="282" t="s">
        <v>2979</v>
      </c>
      <c r="K457" s="283">
        <v>44589</v>
      </c>
      <c r="L457" s="283"/>
      <c r="M457" s="283">
        <v>44515</v>
      </c>
      <c r="N457" s="283">
        <v>44517</v>
      </c>
      <c r="O457" s="283">
        <v>44545</v>
      </c>
      <c r="P457" s="275" t="s">
        <v>7</v>
      </c>
      <c r="Q457" s="275" t="s">
        <v>25</v>
      </c>
      <c r="V457" s="275"/>
      <c r="X457" s="275"/>
      <c r="Y457" s="275"/>
      <c r="Z457" s="276" t="str">
        <f>VLOOKUP(功能_33[[#This Row],[User]],SKL放款!A:G,7,FALSE)</f>
        <v>放款管理課</v>
      </c>
      <c r="AA457" s="283">
        <v>44545</v>
      </c>
      <c r="AB457" s="283" t="s">
        <v>2408</v>
      </c>
      <c r="AC457" s="283">
        <v>44540</v>
      </c>
      <c r="AD457" s="283">
        <v>44540</v>
      </c>
      <c r="AE457" s="215" t="s">
        <v>3008</v>
      </c>
      <c r="AF457" s="283"/>
      <c r="AG457" s="283"/>
      <c r="AH457" s="334"/>
      <c r="AI457" s="283">
        <f>IFERROR(IF(VLOOKUP(功能_33[[#This Row],[功能代號]],E:S,11,FALSE)=0,"",VLOOKUP(功能_33[[#This Row],[功能代號]],E:S,11,FALSE)),"")</f>
        <v>44545</v>
      </c>
      <c r="AJ457" s="283"/>
      <c r="AK457" s="283"/>
      <c r="AL457" s="276"/>
      <c r="AN457" s="275" t="s">
        <v>2700</v>
      </c>
      <c r="AO457" s="276" t="s">
        <v>2811</v>
      </c>
      <c r="AQ457" s="507" t="str">
        <f t="shared" ref="AQ457:AQ520" si="66">IF(COUNTA(AE457)=1,LEFT(D457,3),"")</f>
        <v>8-3</v>
      </c>
      <c r="AR457" s="509" t="str">
        <f t="shared" ref="AR457:AR520" si="67">IF(AND(COUNTA(N457)=1,COUNTA(O457)=1,COUNTA(AA457)=1,COUNTA(AD457)=1,COUNTA(AE457)=0),LEFT(D457,3),"")</f>
        <v/>
      </c>
      <c r="AS457" s="511" t="str">
        <f t="shared" ref="AS457:AS520" si="68">IF(AND(COUNTA(N457)=1,COUNTA(O457)=1,COUNTA(AA457)=1,COUNTA(AD457)=0,COUNTA(AE457)=0),LEFT(D457,3),"")</f>
        <v/>
      </c>
      <c r="AT457" s="513" t="str">
        <f t="shared" ref="AT457:AT520" si="69">IF(AND(COUNTA(O457)=0,COUNTA(AA457)=1),LEFT(D457,3),"")</f>
        <v/>
      </c>
      <c r="AU457" s="515" t="str">
        <f t="shared" ref="AU457:AU520" si="70">IF(AND(COUNTA(O457)=1,COUNTA(AA457)=0),LEFT(D457,3),"")</f>
        <v/>
      </c>
      <c r="AV457" s="517" t="str">
        <f t="shared" ref="AV457:AV520" si="71">IF(AND(COUNTA(O457)=0,COUNTA(AA457)=0),LEFT(D457,3),"")</f>
        <v/>
      </c>
      <c r="AW457" s="589" t="str">
        <f>IFERROR(VLOOKUP(功能_33[[#This Row],[功能代號]],SIT_FT!D:D,1,FALSE),"")</f>
        <v/>
      </c>
    </row>
    <row r="458" spans="3:49" ht="13.5" hidden="1" x14ac:dyDescent="0.3">
      <c r="C458" s="276" t="s">
        <v>84</v>
      </c>
      <c r="D458" s="276" t="s">
        <v>2494</v>
      </c>
      <c r="E458" s="275" t="s">
        <v>1198</v>
      </c>
      <c r="F458" s="276" t="s">
        <v>1199</v>
      </c>
      <c r="G458" s="276" t="s">
        <v>1119</v>
      </c>
      <c r="H458" s="275" t="s">
        <v>122</v>
      </c>
      <c r="I458" s="275" t="s">
        <v>123</v>
      </c>
      <c r="J458" s="282" t="s">
        <v>2979</v>
      </c>
      <c r="K458" s="283">
        <v>44589</v>
      </c>
      <c r="L458" s="283"/>
      <c r="M458" s="283">
        <v>44515</v>
      </c>
      <c r="N458" s="283">
        <v>44517</v>
      </c>
      <c r="O458" s="283">
        <v>44545</v>
      </c>
      <c r="P458" s="275" t="s">
        <v>7</v>
      </c>
      <c r="Q458" s="275" t="s">
        <v>25</v>
      </c>
      <c r="V458" s="275"/>
      <c r="X458" s="275"/>
      <c r="Y458" s="275"/>
      <c r="Z458" s="276" t="str">
        <f>VLOOKUP(功能_33[[#This Row],[User]],SKL放款!A:G,7,FALSE)</f>
        <v>放款管理課</v>
      </c>
      <c r="AA458" s="283">
        <v>44545</v>
      </c>
      <c r="AB458" s="283" t="s">
        <v>2408</v>
      </c>
      <c r="AC458" s="283">
        <v>44540</v>
      </c>
      <c r="AD458" s="283">
        <v>44540</v>
      </c>
      <c r="AE458" s="215" t="s">
        <v>3008</v>
      </c>
      <c r="AF458" s="283"/>
      <c r="AG458" s="283"/>
      <c r="AH458" s="334"/>
      <c r="AI458" s="283">
        <f>IFERROR(IF(VLOOKUP(功能_33[[#This Row],[功能代號]],E:S,11,FALSE)=0,"",VLOOKUP(功能_33[[#This Row],[功能代號]],E:S,11,FALSE)),"")</f>
        <v>44545</v>
      </c>
      <c r="AJ458" s="283"/>
      <c r="AK458" s="283"/>
      <c r="AL458" s="276"/>
      <c r="AN458" s="275" t="s">
        <v>2700</v>
      </c>
      <c r="AO458" s="276" t="s">
        <v>2811</v>
      </c>
      <c r="AQ458" s="507" t="str">
        <f t="shared" si="66"/>
        <v>8-3</v>
      </c>
      <c r="AR458" s="509" t="str">
        <f t="shared" si="67"/>
        <v/>
      </c>
      <c r="AS458" s="511" t="str">
        <f t="shared" si="68"/>
        <v/>
      </c>
      <c r="AT458" s="513" t="str">
        <f t="shared" si="69"/>
        <v/>
      </c>
      <c r="AU458" s="515" t="str">
        <f t="shared" si="70"/>
        <v/>
      </c>
      <c r="AV458" s="517" t="str">
        <f t="shared" si="71"/>
        <v/>
      </c>
      <c r="AW458" s="589" t="str">
        <f>IFERROR(VLOOKUP(功能_33[[#This Row],[功能代號]],SIT_FT!D:D,1,FALSE),"")</f>
        <v/>
      </c>
    </row>
    <row r="459" spans="3:49" ht="13.5" hidden="1" x14ac:dyDescent="0.3">
      <c r="C459" s="276" t="s">
        <v>84</v>
      </c>
      <c r="D459" s="276" t="s">
        <v>2494</v>
      </c>
      <c r="E459" s="275" t="s">
        <v>1200</v>
      </c>
      <c r="F459" s="276" t="s">
        <v>1201</v>
      </c>
      <c r="G459" s="276" t="s">
        <v>1119</v>
      </c>
      <c r="H459" s="275" t="s">
        <v>122</v>
      </c>
      <c r="I459" s="275" t="s">
        <v>123</v>
      </c>
      <c r="J459" s="282" t="s">
        <v>2979</v>
      </c>
      <c r="K459" s="283">
        <v>44589</v>
      </c>
      <c r="L459" s="283"/>
      <c r="M459" s="283">
        <v>44515</v>
      </c>
      <c r="N459" s="283">
        <v>44517</v>
      </c>
      <c r="O459" s="283">
        <v>44545</v>
      </c>
      <c r="P459" s="275" t="s">
        <v>7</v>
      </c>
      <c r="Q459" s="275" t="s">
        <v>25</v>
      </c>
      <c r="V459" s="275"/>
      <c r="X459" s="275"/>
      <c r="Y459" s="275"/>
      <c r="Z459" s="276" t="str">
        <f>VLOOKUP(功能_33[[#This Row],[User]],SKL放款!A:G,7,FALSE)</f>
        <v>放款管理課</v>
      </c>
      <c r="AA459" s="283">
        <v>44545</v>
      </c>
      <c r="AB459" s="283" t="s">
        <v>2408</v>
      </c>
      <c r="AC459" s="283">
        <v>44540</v>
      </c>
      <c r="AD459" s="283">
        <v>44540</v>
      </c>
      <c r="AE459" s="215" t="s">
        <v>3008</v>
      </c>
      <c r="AF459" s="283"/>
      <c r="AG459" s="283"/>
      <c r="AH459" s="334"/>
      <c r="AI459" s="283">
        <f>IFERROR(IF(VLOOKUP(功能_33[[#This Row],[功能代號]],E:S,11,FALSE)=0,"",VLOOKUP(功能_33[[#This Row],[功能代號]],E:S,11,FALSE)),"")</f>
        <v>44545</v>
      </c>
      <c r="AJ459" s="283"/>
      <c r="AK459" s="283"/>
      <c r="AL459" s="276"/>
      <c r="AN459" s="275" t="s">
        <v>2700</v>
      </c>
      <c r="AO459" s="276" t="s">
        <v>2811</v>
      </c>
      <c r="AQ459" s="507" t="str">
        <f t="shared" si="66"/>
        <v>8-3</v>
      </c>
      <c r="AR459" s="509" t="str">
        <f t="shared" si="67"/>
        <v/>
      </c>
      <c r="AS459" s="511" t="str">
        <f t="shared" si="68"/>
        <v/>
      </c>
      <c r="AT459" s="513" t="str">
        <f t="shared" si="69"/>
        <v/>
      </c>
      <c r="AU459" s="515" t="str">
        <f t="shared" si="70"/>
        <v/>
      </c>
      <c r="AV459" s="517" t="str">
        <f t="shared" si="71"/>
        <v/>
      </c>
      <c r="AW459" s="589" t="str">
        <f>IFERROR(VLOOKUP(功能_33[[#This Row],[功能代號]],SIT_FT!D:D,1,FALSE),"")</f>
        <v/>
      </c>
    </row>
    <row r="460" spans="3:49" ht="13.5" hidden="1" x14ac:dyDescent="0.3">
      <c r="C460" s="276" t="s">
        <v>84</v>
      </c>
      <c r="D460" s="276" t="s">
        <v>2494</v>
      </c>
      <c r="E460" s="275" t="s">
        <v>1202</v>
      </c>
      <c r="F460" s="276" t="s">
        <v>1203</v>
      </c>
      <c r="G460" s="276" t="s">
        <v>1119</v>
      </c>
      <c r="H460" s="275" t="s">
        <v>122</v>
      </c>
      <c r="I460" s="275" t="s">
        <v>123</v>
      </c>
      <c r="J460" s="282" t="s">
        <v>2979</v>
      </c>
      <c r="K460" s="283">
        <v>44589</v>
      </c>
      <c r="L460" s="283"/>
      <c r="M460" s="283">
        <v>44515</v>
      </c>
      <c r="N460" s="283">
        <v>44517</v>
      </c>
      <c r="O460" s="283">
        <v>44545</v>
      </c>
      <c r="P460" s="275" t="s">
        <v>7</v>
      </c>
      <c r="Q460" s="275" t="s">
        <v>25</v>
      </c>
      <c r="V460" s="275"/>
      <c r="X460" s="275"/>
      <c r="Y460" s="275"/>
      <c r="Z460" s="276" t="str">
        <f>VLOOKUP(功能_33[[#This Row],[User]],SKL放款!A:G,7,FALSE)</f>
        <v>放款管理課</v>
      </c>
      <c r="AA460" s="283">
        <v>44545</v>
      </c>
      <c r="AB460" s="283" t="s">
        <v>2408</v>
      </c>
      <c r="AC460" s="283">
        <v>44540</v>
      </c>
      <c r="AD460" s="283">
        <v>44540</v>
      </c>
      <c r="AE460" s="215" t="s">
        <v>3008</v>
      </c>
      <c r="AF460" s="283"/>
      <c r="AG460" s="283"/>
      <c r="AH460" s="334"/>
      <c r="AI460" s="283">
        <f>IFERROR(IF(VLOOKUP(功能_33[[#This Row],[功能代號]],E:S,11,FALSE)=0,"",VLOOKUP(功能_33[[#This Row],[功能代號]],E:S,11,FALSE)),"")</f>
        <v>44545</v>
      </c>
      <c r="AJ460" s="283"/>
      <c r="AK460" s="283"/>
      <c r="AL460" s="276"/>
      <c r="AN460" s="275" t="s">
        <v>2700</v>
      </c>
      <c r="AO460" s="276" t="s">
        <v>2811</v>
      </c>
      <c r="AQ460" s="507" t="str">
        <f t="shared" si="66"/>
        <v>8-3</v>
      </c>
      <c r="AR460" s="509" t="str">
        <f t="shared" si="67"/>
        <v/>
      </c>
      <c r="AS460" s="511" t="str">
        <f t="shared" si="68"/>
        <v/>
      </c>
      <c r="AT460" s="513" t="str">
        <f t="shared" si="69"/>
        <v/>
      </c>
      <c r="AU460" s="515" t="str">
        <f t="shared" si="70"/>
        <v/>
      </c>
      <c r="AV460" s="517" t="str">
        <f t="shared" si="71"/>
        <v/>
      </c>
      <c r="AW460" s="589" t="str">
        <f>IFERROR(VLOOKUP(功能_33[[#This Row],[功能代號]],SIT_FT!D:D,1,FALSE),"")</f>
        <v/>
      </c>
    </row>
    <row r="461" spans="3:49" ht="13.5" hidden="1" x14ac:dyDescent="0.3">
      <c r="C461" s="276" t="s">
        <v>84</v>
      </c>
      <c r="D461" s="276" t="s">
        <v>2494</v>
      </c>
      <c r="E461" s="275" t="s">
        <v>1204</v>
      </c>
      <c r="F461" s="276" t="s">
        <v>1205</v>
      </c>
      <c r="G461" s="276" t="s">
        <v>1119</v>
      </c>
      <c r="H461" s="275" t="s">
        <v>122</v>
      </c>
      <c r="I461" s="275" t="s">
        <v>123</v>
      </c>
      <c r="J461" s="282" t="s">
        <v>2979</v>
      </c>
      <c r="K461" s="283">
        <v>44589</v>
      </c>
      <c r="L461" s="283"/>
      <c r="M461" s="283">
        <v>44515</v>
      </c>
      <c r="N461" s="283">
        <v>44517</v>
      </c>
      <c r="O461" s="283">
        <v>44545</v>
      </c>
      <c r="P461" s="275" t="s">
        <v>7</v>
      </c>
      <c r="Q461" s="275" t="s">
        <v>25</v>
      </c>
      <c r="V461" s="275"/>
      <c r="X461" s="275"/>
      <c r="Y461" s="275"/>
      <c r="Z461" s="276" t="str">
        <f>VLOOKUP(功能_33[[#This Row],[User]],SKL放款!A:G,7,FALSE)</f>
        <v>放款管理課</v>
      </c>
      <c r="AA461" s="283">
        <v>44545</v>
      </c>
      <c r="AB461" s="283" t="s">
        <v>2408</v>
      </c>
      <c r="AC461" s="283">
        <v>44540</v>
      </c>
      <c r="AD461" s="283">
        <v>44540</v>
      </c>
      <c r="AE461" s="215" t="s">
        <v>3008</v>
      </c>
      <c r="AF461" s="283"/>
      <c r="AG461" s="283"/>
      <c r="AH461" s="334"/>
      <c r="AI461" s="283">
        <f>IFERROR(IF(VLOOKUP(功能_33[[#This Row],[功能代號]],E:S,11,FALSE)=0,"",VLOOKUP(功能_33[[#This Row],[功能代號]],E:S,11,FALSE)),"")</f>
        <v>44545</v>
      </c>
      <c r="AJ461" s="283"/>
      <c r="AK461" s="283"/>
      <c r="AL461" s="276"/>
      <c r="AN461" s="275" t="s">
        <v>2700</v>
      </c>
      <c r="AO461" s="276" t="s">
        <v>2811</v>
      </c>
      <c r="AQ461" s="507" t="str">
        <f t="shared" si="66"/>
        <v>8-3</v>
      </c>
      <c r="AR461" s="509" t="str">
        <f t="shared" si="67"/>
        <v/>
      </c>
      <c r="AS461" s="511" t="str">
        <f t="shared" si="68"/>
        <v/>
      </c>
      <c r="AT461" s="513" t="str">
        <f t="shared" si="69"/>
        <v/>
      </c>
      <c r="AU461" s="515" t="str">
        <f t="shared" si="70"/>
        <v/>
      </c>
      <c r="AV461" s="517" t="str">
        <f t="shared" si="71"/>
        <v/>
      </c>
      <c r="AW461" s="589" t="str">
        <f>IFERROR(VLOOKUP(功能_33[[#This Row],[功能代號]],SIT_FT!D:D,1,FALSE),"")</f>
        <v/>
      </c>
    </row>
    <row r="462" spans="3:49" ht="13.5" hidden="1" x14ac:dyDescent="0.3">
      <c r="C462" s="276" t="s">
        <v>84</v>
      </c>
      <c r="D462" s="276" t="s">
        <v>2494</v>
      </c>
      <c r="E462" s="275" t="s">
        <v>1206</v>
      </c>
      <c r="F462" s="276" t="s">
        <v>1207</v>
      </c>
      <c r="G462" s="276" t="s">
        <v>1119</v>
      </c>
      <c r="H462" s="275" t="s">
        <v>122</v>
      </c>
      <c r="I462" s="275" t="s">
        <v>123</v>
      </c>
      <c r="J462" s="282" t="s">
        <v>2979</v>
      </c>
      <c r="K462" s="283">
        <v>44589</v>
      </c>
      <c r="L462" s="283"/>
      <c r="M462" s="283">
        <v>44515</v>
      </c>
      <c r="N462" s="283">
        <v>44517</v>
      </c>
      <c r="O462" s="283">
        <v>44545</v>
      </c>
      <c r="P462" s="275" t="s">
        <v>7</v>
      </c>
      <c r="Q462" s="275" t="s">
        <v>25</v>
      </c>
      <c r="V462" s="275"/>
      <c r="X462" s="275"/>
      <c r="Y462" s="275"/>
      <c r="Z462" s="276" t="str">
        <f>VLOOKUP(功能_33[[#This Row],[User]],SKL放款!A:G,7,FALSE)</f>
        <v>放款管理課</v>
      </c>
      <c r="AA462" s="283">
        <v>44545</v>
      </c>
      <c r="AB462" s="283" t="s">
        <v>2408</v>
      </c>
      <c r="AC462" s="283">
        <v>44540</v>
      </c>
      <c r="AD462" s="283">
        <v>44540</v>
      </c>
      <c r="AE462" s="215" t="s">
        <v>3008</v>
      </c>
      <c r="AF462" s="283"/>
      <c r="AG462" s="283"/>
      <c r="AH462" s="334"/>
      <c r="AI462" s="283">
        <f>IFERROR(IF(VLOOKUP(功能_33[[#This Row],[功能代號]],E:S,11,FALSE)=0,"",VLOOKUP(功能_33[[#This Row],[功能代號]],E:S,11,FALSE)),"")</f>
        <v>44545</v>
      </c>
      <c r="AJ462" s="283"/>
      <c r="AK462" s="283"/>
      <c r="AL462" s="276"/>
      <c r="AN462" s="275" t="s">
        <v>2700</v>
      </c>
      <c r="AO462" s="276" t="s">
        <v>2811</v>
      </c>
      <c r="AQ462" s="507" t="str">
        <f t="shared" si="66"/>
        <v>8-3</v>
      </c>
      <c r="AR462" s="509" t="str">
        <f t="shared" si="67"/>
        <v/>
      </c>
      <c r="AS462" s="511" t="str">
        <f t="shared" si="68"/>
        <v/>
      </c>
      <c r="AT462" s="513" t="str">
        <f t="shared" si="69"/>
        <v/>
      </c>
      <c r="AU462" s="515" t="str">
        <f t="shared" si="70"/>
        <v/>
      </c>
      <c r="AV462" s="517" t="str">
        <f t="shared" si="71"/>
        <v/>
      </c>
      <c r="AW462" s="589" t="str">
        <f>IFERROR(VLOOKUP(功能_33[[#This Row],[功能代號]],SIT_FT!D:D,1,FALSE),"")</f>
        <v/>
      </c>
    </row>
    <row r="463" spans="3:49" ht="13.5" hidden="1" x14ac:dyDescent="0.3">
      <c r="C463" s="276" t="s">
        <v>84</v>
      </c>
      <c r="D463" s="276" t="s">
        <v>2494</v>
      </c>
      <c r="E463" s="275" t="s">
        <v>1208</v>
      </c>
      <c r="F463" s="276" t="s">
        <v>1209</v>
      </c>
      <c r="G463" s="276" t="s">
        <v>1119</v>
      </c>
      <c r="H463" s="275" t="s">
        <v>122</v>
      </c>
      <c r="I463" s="275" t="s">
        <v>123</v>
      </c>
      <c r="J463" s="282" t="s">
        <v>2979</v>
      </c>
      <c r="K463" s="283">
        <v>44589</v>
      </c>
      <c r="L463" s="283"/>
      <c r="M463" s="283">
        <v>44515</v>
      </c>
      <c r="N463" s="283">
        <v>44517</v>
      </c>
      <c r="O463" s="283">
        <v>44545</v>
      </c>
      <c r="P463" s="275" t="s">
        <v>7</v>
      </c>
      <c r="Q463" s="275" t="s">
        <v>25</v>
      </c>
      <c r="V463" s="275"/>
      <c r="X463" s="275"/>
      <c r="Y463" s="275"/>
      <c r="Z463" s="276" t="str">
        <f>VLOOKUP(功能_33[[#This Row],[User]],SKL放款!A:G,7,FALSE)</f>
        <v>放款管理課</v>
      </c>
      <c r="AA463" s="283">
        <v>44545</v>
      </c>
      <c r="AB463" s="283" t="s">
        <v>2408</v>
      </c>
      <c r="AC463" s="283">
        <v>44540</v>
      </c>
      <c r="AD463" s="283">
        <v>44540</v>
      </c>
      <c r="AE463" s="215" t="s">
        <v>3008</v>
      </c>
      <c r="AF463" s="283"/>
      <c r="AG463" s="283"/>
      <c r="AH463" s="334"/>
      <c r="AI463" s="283">
        <f>IFERROR(IF(VLOOKUP(功能_33[[#This Row],[功能代號]],E:S,11,FALSE)=0,"",VLOOKUP(功能_33[[#This Row],[功能代號]],E:S,11,FALSE)),"")</f>
        <v>44545</v>
      </c>
      <c r="AJ463" s="283"/>
      <c r="AK463" s="283"/>
      <c r="AL463" s="276"/>
      <c r="AN463" s="275" t="s">
        <v>2700</v>
      </c>
      <c r="AO463" s="276" t="s">
        <v>2811</v>
      </c>
      <c r="AQ463" s="507" t="str">
        <f t="shared" si="66"/>
        <v>8-3</v>
      </c>
      <c r="AR463" s="509" t="str">
        <f t="shared" si="67"/>
        <v/>
      </c>
      <c r="AS463" s="511" t="str">
        <f t="shared" si="68"/>
        <v/>
      </c>
      <c r="AT463" s="513" t="str">
        <f t="shared" si="69"/>
        <v/>
      </c>
      <c r="AU463" s="515" t="str">
        <f t="shared" si="70"/>
        <v/>
      </c>
      <c r="AV463" s="517" t="str">
        <f t="shared" si="71"/>
        <v/>
      </c>
      <c r="AW463" s="589" t="str">
        <f>IFERROR(VLOOKUP(功能_33[[#This Row],[功能代號]],SIT_FT!D:D,1,FALSE),"")</f>
        <v/>
      </c>
    </row>
    <row r="464" spans="3:49" ht="13.5" hidden="1" x14ac:dyDescent="0.3">
      <c r="C464" s="276" t="s">
        <v>84</v>
      </c>
      <c r="D464" s="276" t="s">
        <v>2494</v>
      </c>
      <c r="E464" s="275" t="s">
        <v>1210</v>
      </c>
      <c r="F464" s="276" t="s">
        <v>1211</v>
      </c>
      <c r="G464" s="276" t="s">
        <v>1119</v>
      </c>
      <c r="H464" s="275" t="s">
        <v>122</v>
      </c>
      <c r="I464" s="275" t="s">
        <v>123</v>
      </c>
      <c r="J464" s="282" t="s">
        <v>2979</v>
      </c>
      <c r="K464" s="283">
        <v>44589</v>
      </c>
      <c r="L464" s="283"/>
      <c r="M464" s="283">
        <v>44515</v>
      </c>
      <c r="N464" s="283">
        <v>44517</v>
      </c>
      <c r="O464" s="283">
        <v>44545</v>
      </c>
      <c r="P464" s="275" t="s">
        <v>7</v>
      </c>
      <c r="Q464" s="275" t="s">
        <v>25</v>
      </c>
      <c r="V464" s="275"/>
      <c r="X464" s="275"/>
      <c r="Y464" s="275"/>
      <c r="Z464" s="276" t="str">
        <f>VLOOKUP(功能_33[[#This Row],[User]],SKL放款!A:G,7,FALSE)</f>
        <v>放款管理課</v>
      </c>
      <c r="AA464" s="283">
        <v>44545</v>
      </c>
      <c r="AB464" s="283" t="s">
        <v>2408</v>
      </c>
      <c r="AC464" s="283">
        <v>44540</v>
      </c>
      <c r="AD464" s="283">
        <v>44540</v>
      </c>
      <c r="AE464" s="215" t="s">
        <v>3008</v>
      </c>
      <c r="AF464" s="283"/>
      <c r="AG464" s="283"/>
      <c r="AH464" s="334"/>
      <c r="AI464" s="283">
        <f>IFERROR(IF(VLOOKUP(功能_33[[#This Row],[功能代號]],E:S,11,FALSE)=0,"",VLOOKUP(功能_33[[#This Row],[功能代號]],E:S,11,FALSE)),"")</f>
        <v>44545</v>
      </c>
      <c r="AJ464" s="283"/>
      <c r="AK464" s="283"/>
      <c r="AL464" s="276"/>
      <c r="AN464" s="275" t="s">
        <v>2700</v>
      </c>
      <c r="AO464" s="276" t="s">
        <v>2811</v>
      </c>
      <c r="AQ464" s="507" t="str">
        <f t="shared" si="66"/>
        <v>8-3</v>
      </c>
      <c r="AR464" s="509" t="str">
        <f t="shared" si="67"/>
        <v/>
      </c>
      <c r="AS464" s="511" t="str">
        <f t="shared" si="68"/>
        <v/>
      </c>
      <c r="AT464" s="513" t="str">
        <f t="shared" si="69"/>
        <v/>
      </c>
      <c r="AU464" s="515" t="str">
        <f t="shared" si="70"/>
        <v/>
      </c>
      <c r="AV464" s="517" t="str">
        <f t="shared" si="71"/>
        <v/>
      </c>
      <c r="AW464" s="589" t="str">
        <f>IFERROR(VLOOKUP(功能_33[[#This Row],[功能代號]],SIT_FT!D:D,1,FALSE),"")</f>
        <v/>
      </c>
    </row>
    <row r="465" spans="3:49" ht="13.5" hidden="1" x14ac:dyDescent="0.3">
      <c r="C465" s="276" t="s">
        <v>84</v>
      </c>
      <c r="D465" s="276" t="s">
        <v>2494</v>
      </c>
      <c r="E465" s="275" t="s">
        <v>1212</v>
      </c>
      <c r="F465" s="276" t="s">
        <v>1213</v>
      </c>
      <c r="G465" s="276" t="s">
        <v>1119</v>
      </c>
      <c r="H465" s="275" t="s">
        <v>122</v>
      </c>
      <c r="I465" s="275" t="s">
        <v>123</v>
      </c>
      <c r="J465" s="282" t="s">
        <v>2979</v>
      </c>
      <c r="K465" s="283">
        <v>44589</v>
      </c>
      <c r="L465" s="283"/>
      <c r="M465" s="283">
        <v>44515</v>
      </c>
      <c r="N465" s="283">
        <v>44517</v>
      </c>
      <c r="O465" s="283">
        <v>44545</v>
      </c>
      <c r="P465" s="275" t="s">
        <v>7</v>
      </c>
      <c r="Q465" s="275" t="s">
        <v>25</v>
      </c>
      <c r="V465" s="275"/>
      <c r="X465" s="275"/>
      <c r="Y465" s="275"/>
      <c r="Z465" s="276" t="str">
        <f>VLOOKUP(功能_33[[#This Row],[User]],SKL放款!A:G,7,FALSE)</f>
        <v>放款管理課</v>
      </c>
      <c r="AA465" s="283">
        <v>44545</v>
      </c>
      <c r="AB465" s="283" t="s">
        <v>2408</v>
      </c>
      <c r="AC465" s="283">
        <v>44540</v>
      </c>
      <c r="AD465" s="283">
        <v>44540</v>
      </c>
      <c r="AE465" s="215" t="s">
        <v>3008</v>
      </c>
      <c r="AF465" s="283"/>
      <c r="AG465" s="283"/>
      <c r="AH465" s="334"/>
      <c r="AI465" s="283">
        <f>IFERROR(IF(VLOOKUP(功能_33[[#This Row],[功能代號]],E:S,11,FALSE)=0,"",VLOOKUP(功能_33[[#This Row],[功能代號]],E:S,11,FALSE)),"")</f>
        <v>44545</v>
      </c>
      <c r="AJ465" s="283"/>
      <c r="AK465" s="283"/>
      <c r="AL465" s="276"/>
      <c r="AN465" s="275" t="s">
        <v>2700</v>
      </c>
      <c r="AO465" s="276" t="s">
        <v>2811</v>
      </c>
      <c r="AQ465" s="507" t="str">
        <f t="shared" si="66"/>
        <v>8-3</v>
      </c>
      <c r="AR465" s="509" t="str">
        <f t="shared" si="67"/>
        <v/>
      </c>
      <c r="AS465" s="511" t="str">
        <f t="shared" si="68"/>
        <v/>
      </c>
      <c r="AT465" s="513" t="str">
        <f t="shared" si="69"/>
        <v/>
      </c>
      <c r="AU465" s="515" t="str">
        <f t="shared" si="70"/>
        <v/>
      </c>
      <c r="AV465" s="517" t="str">
        <f t="shared" si="71"/>
        <v/>
      </c>
      <c r="AW465" s="589" t="str">
        <f>IFERROR(VLOOKUP(功能_33[[#This Row],[功能代號]],SIT_FT!D:D,1,FALSE),"")</f>
        <v/>
      </c>
    </row>
    <row r="466" spans="3:49" ht="13.5" hidden="1" x14ac:dyDescent="0.3">
      <c r="C466" s="276" t="s">
        <v>84</v>
      </c>
      <c r="D466" s="276" t="s">
        <v>2494</v>
      </c>
      <c r="E466" s="275" t="s">
        <v>1214</v>
      </c>
      <c r="F466" s="276" t="s">
        <v>1215</v>
      </c>
      <c r="G466" s="276" t="s">
        <v>1119</v>
      </c>
      <c r="H466" s="275" t="s">
        <v>122</v>
      </c>
      <c r="I466" s="275" t="s">
        <v>123</v>
      </c>
      <c r="J466" s="282" t="s">
        <v>2979</v>
      </c>
      <c r="K466" s="283">
        <v>44589</v>
      </c>
      <c r="L466" s="283"/>
      <c r="M466" s="283">
        <v>44516</v>
      </c>
      <c r="N466" s="283">
        <v>44517</v>
      </c>
      <c r="O466" s="283">
        <v>44545</v>
      </c>
      <c r="P466" s="275" t="s">
        <v>7</v>
      </c>
      <c r="Q466" s="275" t="s">
        <v>25</v>
      </c>
      <c r="V466" s="275"/>
      <c r="X466" s="275"/>
      <c r="Y466" s="275"/>
      <c r="Z466" s="276" t="str">
        <f>VLOOKUP(功能_33[[#This Row],[User]],SKL放款!A:G,7,FALSE)</f>
        <v>放款管理課</v>
      </c>
      <c r="AA466" s="283">
        <v>44545</v>
      </c>
      <c r="AB466" s="283" t="s">
        <v>2408</v>
      </c>
      <c r="AC466" s="283">
        <v>44540</v>
      </c>
      <c r="AD466" s="283">
        <v>44540</v>
      </c>
      <c r="AE466" s="215" t="s">
        <v>3008</v>
      </c>
      <c r="AF466" s="283"/>
      <c r="AG466" s="283"/>
      <c r="AH466" s="334"/>
      <c r="AI466" s="283">
        <f>IFERROR(IF(VLOOKUP(功能_33[[#This Row],[功能代號]],E:S,11,FALSE)=0,"",VLOOKUP(功能_33[[#This Row],[功能代號]],E:S,11,FALSE)),"")</f>
        <v>44545</v>
      </c>
      <c r="AJ466" s="283"/>
      <c r="AK466" s="283"/>
      <c r="AL466" s="276"/>
      <c r="AN466" s="275" t="s">
        <v>2700</v>
      </c>
      <c r="AO466" s="276" t="s">
        <v>2811</v>
      </c>
      <c r="AQ466" s="507" t="str">
        <f t="shared" si="66"/>
        <v>8-3</v>
      </c>
      <c r="AR466" s="509" t="str">
        <f t="shared" si="67"/>
        <v/>
      </c>
      <c r="AS466" s="511" t="str">
        <f t="shared" si="68"/>
        <v/>
      </c>
      <c r="AT466" s="513" t="str">
        <f t="shared" si="69"/>
        <v/>
      </c>
      <c r="AU466" s="515" t="str">
        <f t="shared" si="70"/>
        <v/>
      </c>
      <c r="AV466" s="517" t="str">
        <f t="shared" si="71"/>
        <v/>
      </c>
      <c r="AW466" s="589" t="str">
        <f>IFERROR(VLOOKUP(功能_33[[#This Row],[功能代號]],SIT_FT!D:D,1,FALSE),"")</f>
        <v/>
      </c>
    </row>
    <row r="467" spans="3:49" ht="13.5" hidden="1" x14ac:dyDescent="0.3">
      <c r="C467" s="276" t="s">
        <v>84</v>
      </c>
      <c r="D467" s="276" t="s">
        <v>2494</v>
      </c>
      <c r="E467" s="275" t="s">
        <v>1216</v>
      </c>
      <c r="F467" s="276" t="s">
        <v>1217</v>
      </c>
      <c r="G467" s="276" t="s">
        <v>1119</v>
      </c>
      <c r="H467" s="275" t="s">
        <v>122</v>
      </c>
      <c r="I467" s="275" t="s">
        <v>123</v>
      </c>
      <c r="J467" s="282" t="s">
        <v>2979</v>
      </c>
      <c r="K467" s="283">
        <v>44589</v>
      </c>
      <c r="L467" s="283"/>
      <c r="M467" s="283">
        <v>44516</v>
      </c>
      <c r="N467" s="283">
        <v>44517</v>
      </c>
      <c r="O467" s="283">
        <v>44545</v>
      </c>
      <c r="P467" s="275" t="s">
        <v>7</v>
      </c>
      <c r="Q467" s="275" t="s">
        <v>25</v>
      </c>
      <c r="V467" s="275"/>
      <c r="X467" s="275"/>
      <c r="Y467" s="275"/>
      <c r="Z467" s="276" t="str">
        <f>VLOOKUP(功能_33[[#This Row],[User]],SKL放款!A:G,7,FALSE)</f>
        <v>放款管理課</v>
      </c>
      <c r="AA467" s="283">
        <v>44545</v>
      </c>
      <c r="AB467" s="283" t="s">
        <v>2408</v>
      </c>
      <c r="AC467" s="283">
        <v>44540</v>
      </c>
      <c r="AD467" s="283">
        <v>44540</v>
      </c>
      <c r="AE467" s="215" t="s">
        <v>3008</v>
      </c>
      <c r="AF467" s="283"/>
      <c r="AG467" s="283"/>
      <c r="AH467" s="334"/>
      <c r="AI467" s="283">
        <f>IFERROR(IF(VLOOKUP(功能_33[[#This Row],[功能代號]],E:S,11,FALSE)=0,"",VLOOKUP(功能_33[[#This Row],[功能代號]],E:S,11,FALSE)),"")</f>
        <v>44545</v>
      </c>
      <c r="AJ467" s="283"/>
      <c r="AK467" s="283"/>
      <c r="AL467" s="276"/>
      <c r="AN467" s="275" t="s">
        <v>2700</v>
      </c>
      <c r="AO467" s="276" t="s">
        <v>2811</v>
      </c>
      <c r="AQ467" s="507" t="str">
        <f t="shared" si="66"/>
        <v>8-3</v>
      </c>
      <c r="AR467" s="509" t="str">
        <f t="shared" si="67"/>
        <v/>
      </c>
      <c r="AS467" s="511" t="str">
        <f t="shared" si="68"/>
        <v/>
      </c>
      <c r="AT467" s="513" t="str">
        <f t="shared" si="69"/>
        <v/>
      </c>
      <c r="AU467" s="515" t="str">
        <f t="shared" si="70"/>
        <v/>
      </c>
      <c r="AV467" s="517" t="str">
        <f t="shared" si="71"/>
        <v/>
      </c>
      <c r="AW467" s="589" t="str">
        <f>IFERROR(VLOOKUP(功能_33[[#This Row],[功能代號]],SIT_FT!D:D,1,FALSE),"")</f>
        <v/>
      </c>
    </row>
    <row r="468" spans="3:49" ht="13.5" hidden="1" x14ac:dyDescent="0.3">
      <c r="C468" s="276" t="s">
        <v>84</v>
      </c>
      <c r="D468" s="276" t="s">
        <v>2494</v>
      </c>
      <c r="E468" s="275" t="s">
        <v>1218</v>
      </c>
      <c r="F468" s="276" t="s">
        <v>1219</v>
      </c>
      <c r="G468" s="276" t="s">
        <v>1119</v>
      </c>
      <c r="H468" s="275" t="s">
        <v>122</v>
      </c>
      <c r="I468" s="275" t="s">
        <v>123</v>
      </c>
      <c r="J468" s="282" t="s">
        <v>2979</v>
      </c>
      <c r="K468" s="283">
        <v>44589</v>
      </c>
      <c r="L468" s="283"/>
      <c r="M468" s="283">
        <v>44516</v>
      </c>
      <c r="N468" s="283">
        <v>44517</v>
      </c>
      <c r="O468" s="283">
        <v>44545</v>
      </c>
      <c r="P468" s="275" t="s">
        <v>7</v>
      </c>
      <c r="Q468" s="275" t="s">
        <v>25</v>
      </c>
      <c r="V468" s="275"/>
      <c r="X468" s="275"/>
      <c r="Y468" s="275"/>
      <c r="Z468" s="276" t="str">
        <f>VLOOKUP(功能_33[[#This Row],[User]],SKL放款!A:G,7,FALSE)</f>
        <v>放款管理課</v>
      </c>
      <c r="AA468" s="283">
        <v>44545</v>
      </c>
      <c r="AB468" s="283" t="s">
        <v>2408</v>
      </c>
      <c r="AC468" s="283">
        <v>44540</v>
      </c>
      <c r="AD468" s="283">
        <v>44540</v>
      </c>
      <c r="AE468" s="215" t="s">
        <v>3008</v>
      </c>
      <c r="AF468" s="283"/>
      <c r="AG468" s="283"/>
      <c r="AH468" s="334"/>
      <c r="AI468" s="283">
        <f>IFERROR(IF(VLOOKUP(功能_33[[#This Row],[功能代號]],E:S,11,FALSE)=0,"",VLOOKUP(功能_33[[#This Row],[功能代號]],E:S,11,FALSE)),"")</f>
        <v>44545</v>
      </c>
      <c r="AJ468" s="283"/>
      <c r="AK468" s="283"/>
      <c r="AL468" s="276"/>
      <c r="AN468" s="275" t="s">
        <v>2700</v>
      </c>
      <c r="AO468" s="276" t="s">
        <v>2811</v>
      </c>
      <c r="AQ468" s="507" t="str">
        <f t="shared" si="66"/>
        <v>8-3</v>
      </c>
      <c r="AR468" s="509" t="str">
        <f t="shared" si="67"/>
        <v/>
      </c>
      <c r="AS468" s="511" t="str">
        <f t="shared" si="68"/>
        <v/>
      </c>
      <c r="AT468" s="513" t="str">
        <f t="shared" si="69"/>
        <v/>
      </c>
      <c r="AU468" s="515" t="str">
        <f t="shared" si="70"/>
        <v/>
      </c>
      <c r="AV468" s="517" t="str">
        <f t="shared" si="71"/>
        <v/>
      </c>
      <c r="AW468" s="589" t="str">
        <f>IFERROR(VLOOKUP(功能_33[[#This Row],[功能代號]],SIT_FT!D:D,1,FALSE),"")</f>
        <v/>
      </c>
    </row>
    <row r="469" spans="3:49" ht="13.5" hidden="1" x14ac:dyDescent="0.3">
      <c r="C469" s="276" t="s">
        <v>84</v>
      </c>
      <c r="D469" s="276" t="s">
        <v>2494</v>
      </c>
      <c r="E469" s="275" t="s">
        <v>1220</v>
      </c>
      <c r="F469" s="276" t="s">
        <v>1221</v>
      </c>
      <c r="G469" s="276" t="s">
        <v>1119</v>
      </c>
      <c r="H469" s="275" t="s">
        <v>122</v>
      </c>
      <c r="I469" s="275" t="s">
        <v>123</v>
      </c>
      <c r="J469" s="282" t="s">
        <v>2979</v>
      </c>
      <c r="K469" s="283">
        <v>44589</v>
      </c>
      <c r="L469" s="283"/>
      <c r="M469" s="283">
        <v>44516</v>
      </c>
      <c r="N469" s="283">
        <v>44517</v>
      </c>
      <c r="O469" s="283">
        <v>44545</v>
      </c>
      <c r="P469" s="275" t="s">
        <v>7</v>
      </c>
      <c r="Q469" s="275" t="s">
        <v>25</v>
      </c>
      <c r="V469" s="275"/>
      <c r="X469" s="275"/>
      <c r="Y469" s="275"/>
      <c r="Z469" s="276" t="str">
        <f>VLOOKUP(功能_33[[#This Row],[User]],SKL放款!A:G,7,FALSE)</f>
        <v>放款管理課</v>
      </c>
      <c r="AA469" s="283">
        <v>44545</v>
      </c>
      <c r="AB469" s="283" t="s">
        <v>2408</v>
      </c>
      <c r="AC469" s="283">
        <v>44540</v>
      </c>
      <c r="AD469" s="283">
        <v>44540</v>
      </c>
      <c r="AE469" s="215" t="s">
        <v>3008</v>
      </c>
      <c r="AF469" s="283"/>
      <c r="AG469" s="283"/>
      <c r="AH469" s="334"/>
      <c r="AI469" s="283">
        <f>IFERROR(IF(VLOOKUP(功能_33[[#This Row],[功能代號]],E:S,11,FALSE)=0,"",VLOOKUP(功能_33[[#This Row],[功能代號]],E:S,11,FALSE)),"")</f>
        <v>44545</v>
      </c>
      <c r="AJ469" s="283"/>
      <c r="AK469" s="283"/>
      <c r="AL469" s="276"/>
      <c r="AN469" s="275" t="s">
        <v>2700</v>
      </c>
      <c r="AO469" s="276" t="s">
        <v>2811</v>
      </c>
      <c r="AQ469" s="507" t="str">
        <f t="shared" si="66"/>
        <v>8-3</v>
      </c>
      <c r="AR469" s="509" t="str">
        <f t="shared" si="67"/>
        <v/>
      </c>
      <c r="AS469" s="511" t="str">
        <f t="shared" si="68"/>
        <v/>
      </c>
      <c r="AT469" s="513" t="str">
        <f t="shared" si="69"/>
        <v/>
      </c>
      <c r="AU469" s="515" t="str">
        <f t="shared" si="70"/>
        <v/>
      </c>
      <c r="AV469" s="517" t="str">
        <f t="shared" si="71"/>
        <v/>
      </c>
      <c r="AW469" s="589" t="str">
        <f>IFERROR(VLOOKUP(功能_33[[#This Row],[功能代號]],SIT_FT!D:D,1,FALSE),"")</f>
        <v/>
      </c>
    </row>
    <row r="470" spans="3:49" ht="13.5" hidden="1" x14ac:dyDescent="0.3">
      <c r="C470" s="276" t="s">
        <v>84</v>
      </c>
      <c r="D470" s="276" t="s">
        <v>2494</v>
      </c>
      <c r="E470" s="275" t="s">
        <v>1222</v>
      </c>
      <c r="F470" s="276" t="s">
        <v>1223</v>
      </c>
      <c r="G470" s="276" t="s">
        <v>1119</v>
      </c>
      <c r="H470" s="275" t="s">
        <v>122</v>
      </c>
      <c r="I470" s="275" t="s">
        <v>123</v>
      </c>
      <c r="J470" s="282" t="s">
        <v>2979</v>
      </c>
      <c r="K470" s="283">
        <v>44589</v>
      </c>
      <c r="L470" s="283"/>
      <c r="M470" s="283">
        <v>44516</v>
      </c>
      <c r="N470" s="283">
        <v>44517</v>
      </c>
      <c r="O470" s="283">
        <v>44545</v>
      </c>
      <c r="P470" s="275" t="s">
        <v>7</v>
      </c>
      <c r="Q470" s="275" t="s">
        <v>25</v>
      </c>
      <c r="V470" s="275"/>
      <c r="X470" s="275"/>
      <c r="Y470" s="275"/>
      <c r="Z470" s="276" t="str">
        <f>VLOOKUP(功能_33[[#This Row],[User]],SKL放款!A:G,7,FALSE)</f>
        <v>放款管理課</v>
      </c>
      <c r="AA470" s="283">
        <v>44545</v>
      </c>
      <c r="AB470" s="283" t="s">
        <v>2408</v>
      </c>
      <c r="AC470" s="283">
        <v>44540</v>
      </c>
      <c r="AD470" s="283">
        <v>44540</v>
      </c>
      <c r="AE470" s="215" t="s">
        <v>3008</v>
      </c>
      <c r="AF470" s="283"/>
      <c r="AG470" s="283"/>
      <c r="AH470" s="334"/>
      <c r="AI470" s="283">
        <f>IFERROR(IF(VLOOKUP(功能_33[[#This Row],[功能代號]],E:S,11,FALSE)=0,"",VLOOKUP(功能_33[[#This Row],[功能代號]],E:S,11,FALSE)),"")</f>
        <v>44545</v>
      </c>
      <c r="AJ470" s="283"/>
      <c r="AK470" s="283"/>
      <c r="AL470" s="276"/>
      <c r="AN470" s="275" t="s">
        <v>2700</v>
      </c>
      <c r="AO470" s="276" t="s">
        <v>2811</v>
      </c>
      <c r="AQ470" s="507" t="str">
        <f t="shared" si="66"/>
        <v>8-3</v>
      </c>
      <c r="AR470" s="509" t="str">
        <f t="shared" si="67"/>
        <v/>
      </c>
      <c r="AS470" s="511" t="str">
        <f t="shared" si="68"/>
        <v/>
      </c>
      <c r="AT470" s="513" t="str">
        <f t="shared" si="69"/>
        <v/>
      </c>
      <c r="AU470" s="515" t="str">
        <f t="shared" si="70"/>
        <v/>
      </c>
      <c r="AV470" s="517" t="str">
        <f t="shared" si="71"/>
        <v/>
      </c>
      <c r="AW470" s="589" t="str">
        <f>IFERROR(VLOOKUP(功能_33[[#This Row],[功能代號]],SIT_FT!D:D,1,FALSE),"")</f>
        <v/>
      </c>
    </row>
    <row r="471" spans="3:49" ht="13.5" hidden="1" x14ac:dyDescent="0.3">
      <c r="C471" s="276" t="s">
        <v>84</v>
      </c>
      <c r="D471" s="276" t="s">
        <v>2494</v>
      </c>
      <c r="E471" s="275" t="s">
        <v>1224</v>
      </c>
      <c r="F471" s="276" t="s">
        <v>1225</v>
      </c>
      <c r="G471" s="276" t="s">
        <v>1119</v>
      </c>
      <c r="H471" s="275" t="s">
        <v>122</v>
      </c>
      <c r="I471" s="275" t="s">
        <v>123</v>
      </c>
      <c r="J471" s="282" t="s">
        <v>2979</v>
      </c>
      <c r="K471" s="283">
        <v>44589</v>
      </c>
      <c r="L471" s="283"/>
      <c r="M471" s="283">
        <v>44516</v>
      </c>
      <c r="N471" s="283">
        <v>44517</v>
      </c>
      <c r="O471" s="283">
        <v>44545</v>
      </c>
      <c r="P471" s="275" t="s">
        <v>7</v>
      </c>
      <c r="Q471" s="275" t="s">
        <v>25</v>
      </c>
      <c r="V471" s="275"/>
      <c r="X471" s="275"/>
      <c r="Y471" s="275"/>
      <c r="Z471" s="276" t="str">
        <f>VLOOKUP(功能_33[[#This Row],[User]],SKL放款!A:G,7,FALSE)</f>
        <v>放款管理課</v>
      </c>
      <c r="AA471" s="283">
        <v>44545</v>
      </c>
      <c r="AB471" s="283" t="s">
        <v>2408</v>
      </c>
      <c r="AC471" s="283">
        <v>44540</v>
      </c>
      <c r="AD471" s="283">
        <v>44540</v>
      </c>
      <c r="AE471" s="215" t="s">
        <v>3008</v>
      </c>
      <c r="AF471" s="283"/>
      <c r="AG471" s="283"/>
      <c r="AH471" s="334"/>
      <c r="AI471" s="283">
        <f>IFERROR(IF(VLOOKUP(功能_33[[#This Row],[功能代號]],E:S,11,FALSE)=0,"",VLOOKUP(功能_33[[#This Row],[功能代號]],E:S,11,FALSE)),"")</f>
        <v>44545</v>
      </c>
      <c r="AJ471" s="283"/>
      <c r="AK471" s="283"/>
      <c r="AL471" s="276"/>
      <c r="AN471" s="275" t="s">
        <v>2700</v>
      </c>
      <c r="AO471" s="276" t="s">
        <v>2811</v>
      </c>
      <c r="AQ471" s="507" t="str">
        <f t="shared" si="66"/>
        <v>8-3</v>
      </c>
      <c r="AR471" s="509" t="str">
        <f t="shared" si="67"/>
        <v/>
      </c>
      <c r="AS471" s="511" t="str">
        <f t="shared" si="68"/>
        <v/>
      </c>
      <c r="AT471" s="513" t="str">
        <f t="shared" si="69"/>
        <v/>
      </c>
      <c r="AU471" s="515" t="str">
        <f t="shared" si="70"/>
        <v/>
      </c>
      <c r="AV471" s="517" t="str">
        <f t="shared" si="71"/>
        <v/>
      </c>
      <c r="AW471" s="589" t="str">
        <f>IFERROR(VLOOKUP(功能_33[[#This Row],[功能代號]],SIT_FT!D:D,1,FALSE),"")</f>
        <v/>
      </c>
    </row>
    <row r="472" spans="3:49" ht="13.5" hidden="1" x14ac:dyDescent="0.3">
      <c r="C472" s="276" t="s">
        <v>84</v>
      </c>
      <c r="D472" s="276" t="s">
        <v>2494</v>
      </c>
      <c r="E472" s="275" t="s">
        <v>1226</v>
      </c>
      <c r="F472" s="276" t="s">
        <v>1227</v>
      </c>
      <c r="G472" s="276" t="s">
        <v>1119</v>
      </c>
      <c r="H472" s="275" t="s">
        <v>122</v>
      </c>
      <c r="I472" s="275" t="s">
        <v>123</v>
      </c>
      <c r="J472" s="282" t="s">
        <v>2979</v>
      </c>
      <c r="K472" s="283">
        <v>44589</v>
      </c>
      <c r="L472" s="283"/>
      <c r="M472" s="283">
        <v>44516</v>
      </c>
      <c r="N472" s="283">
        <v>44517</v>
      </c>
      <c r="O472" s="283">
        <v>44545</v>
      </c>
      <c r="P472" s="275" t="s">
        <v>7</v>
      </c>
      <c r="Q472" s="275" t="s">
        <v>25</v>
      </c>
      <c r="V472" s="275"/>
      <c r="X472" s="275"/>
      <c r="Y472" s="275"/>
      <c r="Z472" s="276" t="str">
        <f>VLOOKUP(功能_33[[#This Row],[User]],SKL放款!A:G,7,FALSE)</f>
        <v>放款管理課</v>
      </c>
      <c r="AA472" s="283">
        <v>44545</v>
      </c>
      <c r="AB472" s="283" t="s">
        <v>2408</v>
      </c>
      <c r="AC472" s="283">
        <v>44540</v>
      </c>
      <c r="AD472" s="283">
        <v>44540</v>
      </c>
      <c r="AE472" s="215" t="s">
        <v>3008</v>
      </c>
      <c r="AF472" s="283"/>
      <c r="AG472" s="283"/>
      <c r="AH472" s="334"/>
      <c r="AI472" s="283">
        <f>IFERROR(IF(VLOOKUP(功能_33[[#This Row],[功能代號]],E:S,11,FALSE)=0,"",VLOOKUP(功能_33[[#This Row],[功能代號]],E:S,11,FALSE)),"")</f>
        <v>44545</v>
      </c>
      <c r="AJ472" s="283"/>
      <c r="AK472" s="283"/>
      <c r="AL472" s="276"/>
      <c r="AN472" s="275" t="s">
        <v>2700</v>
      </c>
      <c r="AO472" s="276" t="s">
        <v>2811</v>
      </c>
      <c r="AQ472" s="507" t="str">
        <f t="shared" si="66"/>
        <v>8-3</v>
      </c>
      <c r="AR472" s="509" t="str">
        <f t="shared" si="67"/>
        <v/>
      </c>
      <c r="AS472" s="511" t="str">
        <f t="shared" si="68"/>
        <v/>
      </c>
      <c r="AT472" s="513" t="str">
        <f t="shared" si="69"/>
        <v/>
      </c>
      <c r="AU472" s="515" t="str">
        <f t="shared" si="70"/>
        <v/>
      </c>
      <c r="AV472" s="517" t="str">
        <f t="shared" si="71"/>
        <v/>
      </c>
      <c r="AW472" s="589" t="str">
        <f>IFERROR(VLOOKUP(功能_33[[#This Row],[功能代號]],SIT_FT!D:D,1,FALSE),"")</f>
        <v/>
      </c>
    </row>
    <row r="473" spans="3:49" ht="13.5" hidden="1" x14ac:dyDescent="0.3">
      <c r="C473" s="276" t="s">
        <v>84</v>
      </c>
      <c r="D473" s="276" t="s">
        <v>2494</v>
      </c>
      <c r="E473" s="275" t="s">
        <v>1228</v>
      </c>
      <c r="F473" s="276" t="s">
        <v>1229</v>
      </c>
      <c r="G473" s="276" t="s">
        <v>1119</v>
      </c>
      <c r="H473" s="275" t="s">
        <v>122</v>
      </c>
      <c r="I473" s="275" t="s">
        <v>123</v>
      </c>
      <c r="J473" s="282" t="s">
        <v>2979</v>
      </c>
      <c r="K473" s="283">
        <v>44589</v>
      </c>
      <c r="L473" s="283"/>
      <c r="M473" s="283">
        <v>44517</v>
      </c>
      <c r="N473" s="283">
        <v>44517</v>
      </c>
      <c r="O473" s="283">
        <v>44545</v>
      </c>
      <c r="P473" s="275" t="s">
        <v>7</v>
      </c>
      <c r="Q473" s="275" t="s">
        <v>25</v>
      </c>
      <c r="V473" s="275"/>
      <c r="X473" s="275"/>
      <c r="Y473" s="275"/>
      <c r="Z473" s="276" t="str">
        <f>VLOOKUP(功能_33[[#This Row],[User]],SKL放款!A:G,7,FALSE)</f>
        <v>放款管理課</v>
      </c>
      <c r="AA473" s="283">
        <v>44545</v>
      </c>
      <c r="AB473" s="283" t="s">
        <v>2408</v>
      </c>
      <c r="AC473" s="283">
        <v>44540</v>
      </c>
      <c r="AD473" s="283">
        <v>44540</v>
      </c>
      <c r="AE473" s="215" t="s">
        <v>3008</v>
      </c>
      <c r="AF473" s="283"/>
      <c r="AG473" s="283"/>
      <c r="AH473" s="334"/>
      <c r="AI473" s="283">
        <f>IFERROR(IF(VLOOKUP(功能_33[[#This Row],[功能代號]],E:S,11,FALSE)=0,"",VLOOKUP(功能_33[[#This Row],[功能代號]],E:S,11,FALSE)),"")</f>
        <v>44545</v>
      </c>
      <c r="AJ473" s="283"/>
      <c r="AK473" s="283"/>
      <c r="AL473" s="276"/>
      <c r="AN473" s="275" t="s">
        <v>2700</v>
      </c>
      <c r="AO473" s="276" t="s">
        <v>2811</v>
      </c>
      <c r="AQ473" s="507" t="str">
        <f t="shared" si="66"/>
        <v>8-3</v>
      </c>
      <c r="AR473" s="509" t="str">
        <f t="shared" si="67"/>
        <v/>
      </c>
      <c r="AS473" s="511" t="str">
        <f t="shared" si="68"/>
        <v/>
      </c>
      <c r="AT473" s="513" t="str">
        <f t="shared" si="69"/>
        <v/>
      </c>
      <c r="AU473" s="515" t="str">
        <f t="shared" si="70"/>
        <v/>
      </c>
      <c r="AV473" s="517" t="str">
        <f t="shared" si="71"/>
        <v/>
      </c>
      <c r="AW473" s="589" t="str">
        <f>IFERROR(VLOOKUP(功能_33[[#This Row],[功能代號]],SIT_FT!D:D,1,FALSE),"")</f>
        <v/>
      </c>
    </row>
    <row r="474" spans="3:49" ht="13.5" hidden="1" x14ac:dyDescent="0.3">
      <c r="C474" s="276" t="s">
        <v>84</v>
      </c>
      <c r="D474" s="276" t="s">
        <v>2494</v>
      </c>
      <c r="E474" s="275" t="s">
        <v>1230</v>
      </c>
      <c r="F474" s="276" t="s">
        <v>1231</v>
      </c>
      <c r="G474" s="276" t="s">
        <v>1119</v>
      </c>
      <c r="H474" s="275" t="s">
        <v>122</v>
      </c>
      <c r="I474" s="275" t="s">
        <v>123</v>
      </c>
      <c r="J474" s="282" t="s">
        <v>2979</v>
      </c>
      <c r="K474" s="283">
        <v>44589</v>
      </c>
      <c r="L474" s="283"/>
      <c r="M474" s="283">
        <v>44517</v>
      </c>
      <c r="N474" s="283">
        <v>44517</v>
      </c>
      <c r="O474" s="283">
        <v>44545</v>
      </c>
      <c r="P474" s="275" t="s">
        <v>7</v>
      </c>
      <c r="Q474" s="275" t="s">
        <v>25</v>
      </c>
      <c r="V474" s="275"/>
      <c r="X474" s="275"/>
      <c r="Y474" s="275"/>
      <c r="Z474" s="276" t="str">
        <f>VLOOKUP(功能_33[[#This Row],[User]],SKL放款!A:G,7,FALSE)</f>
        <v>放款管理課</v>
      </c>
      <c r="AA474" s="283">
        <v>44545</v>
      </c>
      <c r="AB474" s="283" t="s">
        <v>2408</v>
      </c>
      <c r="AC474" s="283">
        <v>44540</v>
      </c>
      <c r="AD474" s="283">
        <v>44540</v>
      </c>
      <c r="AE474" s="215" t="s">
        <v>3008</v>
      </c>
      <c r="AF474" s="283"/>
      <c r="AG474" s="283"/>
      <c r="AH474" s="334"/>
      <c r="AI474" s="283">
        <f>IFERROR(IF(VLOOKUP(功能_33[[#This Row],[功能代號]],E:S,11,FALSE)=0,"",VLOOKUP(功能_33[[#This Row],[功能代號]],E:S,11,FALSE)),"")</f>
        <v>44545</v>
      </c>
      <c r="AJ474" s="283"/>
      <c r="AK474" s="283"/>
      <c r="AL474" s="276"/>
      <c r="AN474" s="275" t="s">
        <v>2700</v>
      </c>
      <c r="AO474" s="276" t="s">
        <v>2811</v>
      </c>
      <c r="AQ474" s="507" t="str">
        <f t="shared" si="66"/>
        <v>8-3</v>
      </c>
      <c r="AR474" s="509" t="str">
        <f t="shared" si="67"/>
        <v/>
      </c>
      <c r="AS474" s="511" t="str">
        <f t="shared" si="68"/>
        <v/>
      </c>
      <c r="AT474" s="513" t="str">
        <f t="shared" si="69"/>
        <v/>
      </c>
      <c r="AU474" s="515" t="str">
        <f t="shared" si="70"/>
        <v/>
      </c>
      <c r="AV474" s="517" t="str">
        <f t="shared" si="71"/>
        <v/>
      </c>
      <c r="AW474" s="589" t="str">
        <f>IFERROR(VLOOKUP(功能_33[[#This Row],[功能代號]],SIT_FT!D:D,1,FALSE),"")</f>
        <v/>
      </c>
    </row>
    <row r="475" spans="3:49" ht="13.5" hidden="1" x14ac:dyDescent="0.3">
      <c r="C475" s="276" t="s">
        <v>84</v>
      </c>
      <c r="D475" s="276" t="s">
        <v>2494</v>
      </c>
      <c r="E475" s="275" t="s">
        <v>1232</v>
      </c>
      <c r="F475" s="276" t="s">
        <v>1233</v>
      </c>
      <c r="G475" s="276" t="s">
        <v>1119</v>
      </c>
      <c r="H475" s="275" t="s">
        <v>122</v>
      </c>
      <c r="I475" s="275" t="s">
        <v>123</v>
      </c>
      <c r="J475" s="282" t="s">
        <v>2979</v>
      </c>
      <c r="K475" s="283">
        <v>44589</v>
      </c>
      <c r="L475" s="283"/>
      <c r="M475" s="283">
        <v>44517</v>
      </c>
      <c r="N475" s="283">
        <v>44517</v>
      </c>
      <c r="O475" s="283">
        <v>44545</v>
      </c>
      <c r="P475" s="275" t="s">
        <v>7</v>
      </c>
      <c r="Q475" s="275" t="s">
        <v>25</v>
      </c>
      <c r="V475" s="275"/>
      <c r="X475" s="275"/>
      <c r="Y475" s="275"/>
      <c r="Z475" s="276" t="str">
        <f>VLOOKUP(功能_33[[#This Row],[User]],SKL放款!A:G,7,FALSE)</f>
        <v>放款管理課</v>
      </c>
      <c r="AA475" s="283">
        <v>44545</v>
      </c>
      <c r="AB475" s="283" t="s">
        <v>2408</v>
      </c>
      <c r="AC475" s="283">
        <v>44540</v>
      </c>
      <c r="AD475" s="283">
        <v>44540</v>
      </c>
      <c r="AE475" s="215" t="s">
        <v>3008</v>
      </c>
      <c r="AF475" s="283"/>
      <c r="AG475" s="283"/>
      <c r="AH475" s="334"/>
      <c r="AI475" s="283">
        <f>IFERROR(IF(VLOOKUP(功能_33[[#This Row],[功能代號]],E:S,11,FALSE)=0,"",VLOOKUP(功能_33[[#This Row],[功能代號]],E:S,11,FALSE)),"")</f>
        <v>44545</v>
      </c>
      <c r="AJ475" s="283"/>
      <c r="AK475" s="283"/>
      <c r="AL475" s="276"/>
      <c r="AN475" s="275" t="s">
        <v>2700</v>
      </c>
      <c r="AO475" s="276" t="s">
        <v>2811</v>
      </c>
      <c r="AQ475" s="507" t="str">
        <f t="shared" si="66"/>
        <v>8-3</v>
      </c>
      <c r="AR475" s="509" t="str">
        <f t="shared" si="67"/>
        <v/>
      </c>
      <c r="AS475" s="511" t="str">
        <f t="shared" si="68"/>
        <v/>
      </c>
      <c r="AT475" s="513" t="str">
        <f t="shared" si="69"/>
        <v/>
      </c>
      <c r="AU475" s="515" t="str">
        <f t="shared" si="70"/>
        <v/>
      </c>
      <c r="AV475" s="517" t="str">
        <f t="shared" si="71"/>
        <v/>
      </c>
      <c r="AW475" s="589" t="str">
        <f>IFERROR(VLOOKUP(功能_33[[#This Row],[功能代號]],SIT_FT!D:D,1,FALSE),"")</f>
        <v/>
      </c>
    </row>
    <row r="476" spans="3:49" ht="13.5" hidden="1" x14ac:dyDescent="0.3">
      <c r="C476" s="276" t="s">
        <v>84</v>
      </c>
      <c r="D476" s="276" t="s">
        <v>2494</v>
      </c>
      <c r="E476" s="275" t="s">
        <v>1234</v>
      </c>
      <c r="F476" s="276" t="s">
        <v>1235</v>
      </c>
      <c r="G476" s="276" t="s">
        <v>1119</v>
      </c>
      <c r="H476" s="275" t="s">
        <v>122</v>
      </c>
      <c r="I476" s="275" t="s">
        <v>123</v>
      </c>
      <c r="J476" s="282" t="s">
        <v>2979</v>
      </c>
      <c r="K476" s="283">
        <v>44589</v>
      </c>
      <c r="L476" s="283"/>
      <c r="M476" s="283">
        <v>44517</v>
      </c>
      <c r="N476" s="283">
        <v>44517</v>
      </c>
      <c r="O476" s="283">
        <v>44545</v>
      </c>
      <c r="P476" s="275" t="s">
        <v>7</v>
      </c>
      <c r="Q476" s="275" t="s">
        <v>25</v>
      </c>
      <c r="V476" s="275"/>
      <c r="X476" s="275"/>
      <c r="Y476" s="275"/>
      <c r="Z476" s="276" t="str">
        <f>VLOOKUP(功能_33[[#This Row],[User]],SKL放款!A:G,7,FALSE)</f>
        <v>放款管理課</v>
      </c>
      <c r="AA476" s="283">
        <v>44545</v>
      </c>
      <c r="AB476" s="283" t="s">
        <v>2408</v>
      </c>
      <c r="AC476" s="283">
        <v>44540</v>
      </c>
      <c r="AD476" s="283">
        <v>44540</v>
      </c>
      <c r="AE476" s="215" t="s">
        <v>3008</v>
      </c>
      <c r="AF476" s="283"/>
      <c r="AG476" s="283"/>
      <c r="AH476" s="334"/>
      <c r="AI476" s="283">
        <f>IFERROR(IF(VLOOKUP(功能_33[[#This Row],[功能代號]],E:S,11,FALSE)=0,"",VLOOKUP(功能_33[[#This Row],[功能代號]],E:S,11,FALSE)),"")</f>
        <v>44545</v>
      </c>
      <c r="AJ476" s="283"/>
      <c r="AK476" s="283"/>
      <c r="AL476" s="276"/>
      <c r="AN476" s="275" t="s">
        <v>2700</v>
      </c>
      <c r="AO476" s="276" t="s">
        <v>2811</v>
      </c>
      <c r="AQ476" s="507" t="str">
        <f t="shared" si="66"/>
        <v>8-3</v>
      </c>
      <c r="AR476" s="509" t="str">
        <f t="shared" si="67"/>
        <v/>
      </c>
      <c r="AS476" s="511" t="str">
        <f t="shared" si="68"/>
        <v/>
      </c>
      <c r="AT476" s="513" t="str">
        <f t="shared" si="69"/>
        <v/>
      </c>
      <c r="AU476" s="515" t="str">
        <f t="shared" si="70"/>
        <v/>
      </c>
      <c r="AV476" s="517" t="str">
        <f t="shared" si="71"/>
        <v/>
      </c>
      <c r="AW476" s="589" t="str">
        <f>IFERROR(VLOOKUP(功能_33[[#This Row],[功能代號]],SIT_FT!D:D,1,FALSE),"")</f>
        <v/>
      </c>
    </row>
    <row r="477" spans="3:49" ht="13.5" hidden="1" x14ac:dyDescent="0.3">
      <c r="C477" s="276" t="s">
        <v>84</v>
      </c>
      <c r="D477" s="276" t="s">
        <v>2494</v>
      </c>
      <c r="E477" s="275" t="s">
        <v>1236</v>
      </c>
      <c r="F477" s="276" t="s">
        <v>1237</v>
      </c>
      <c r="G477" s="276" t="s">
        <v>1119</v>
      </c>
      <c r="H477" s="275" t="s">
        <v>122</v>
      </c>
      <c r="I477" s="275" t="s">
        <v>123</v>
      </c>
      <c r="J477" s="282" t="s">
        <v>2979</v>
      </c>
      <c r="K477" s="283">
        <v>44589</v>
      </c>
      <c r="L477" s="283"/>
      <c r="M477" s="283">
        <v>44518</v>
      </c>
      <c r="N477" s="283">
        <v>44517</v>
      </c>
      <c r="O477" s="283">
        <v>44545</v>
      </c>
      <c r="P477" s="275" t="s">
        <v>7</v>
      </c>
      <c r="Q477" s="275" t="s">
        <v>25</v>
      </c>
      <c r="V477" s="275"/>
      <c r="X477" s="275"/>
      <c r="Y477" s="275"/>
      <c r="Z477" s="276" t="str">
        <f>VLOOKUP(功能_33[[#This Row],[User]],SKL放款!A:G,7,FALSE)</f>
        <v>放款管理課</v>
      </c>
      <c r="AA477" s="283">
        <v>44545</v>
      </c>
      <c r="AB477" s="283" t="s">
        <v>2408</v>
      </c>
      <c r="AC477" s="283">
        <v>44540</v>
      </c>
      <c r="AD477" s="283">
        <v>44540</v>
      </c>
      <c r="AE477" s="215" t="s">
        <v>3008</v>
      </c>
      <c r="AF477" s="283"/>
      <c r="AG477" s="283"/>
      <c r="AH477" s="334"/>
      <c r="AI477" s="283">
        <f>IFERROR(IF(VLOOKUP(功能_33[[#This Row],[功能代號]],E:S,11,FALSE)=0,"",VLOOKUP(功能_33[[#This Row],[功能代號]],E:S,11,FALSE)),"")</f>
        <v>44545</v>
      </c>
      <c r="AJ477" s="283"/>
      <c r="AK477" s="283"/>
      <c r="AL477" s="276"/>
      <c r="AN477" s="275" t="s">
        <v>2700</v>
      </c>
      <c r="AO477" s="276" t="s">
        <v>2811</v>
      </c>
      <c r="AQ477" s="507" t="str">
        <f t="shared" si="66"/>
        <v>8-3</v>
      </c>
      <c r="AR477" s="509" t="str">
        <f t="shared" si="67"/>
        <v/>
      </c>
      <c r="AS477" s="511" t="str">
        <f t="shared" si="68"/>
        <v/>
      </c>
      <c r="AT477" s="513" t="str">
        <f t="shared" si="69"/>
        <v/>
      </c>
      <c r="AU477" s="515" t="str">
        <f t="shared" si="70"/>
        <v/>
      </c>
      <c r="AV477" s="517" t="str">
        <f t="shared" si="71"/>
        <v/>
      </c>
      <c r="AW477" s="589" t="str">
        <f>IFERROR(VLOOKUP(功能_33[[#This Row],[功能代號]],SIT_FT!D:D,1,FALSE),"")</f>
        <v/>
      </c>
    </row>
    <row r="478" spans="3:49" ht="13.5" hidden="1" x14ac:dyDescent="0.3">
      <c r="C478" s="276" t="s">
        <v>84</v>
      </c>
      <c r="D478" s="276" t="s">
        <v>2494</v>
      </c>
      <c r="E478" s="275" t="s">
        <v>1238</v>
      </c>
      <c r="F478" s="276" t="s">
        <v>1239</v>
      </c>
      <c r="G478" s="276" t="s">
        <v>1119</v>
      </c>
      <c r="H478" s="275" t="s">
        <v>122</v>
      </c>
      <c r="I478" s="275" t="s">
        <v>123</v>
      </c>
      <c r="J478" s="282" t="s">
        <v>2979</v>
      </c>
      <c r="K478" s="283">
        <v>44589</v>
      </c>
      <c r="L478" s="283"/>
      <c r="M478" s="283">
        <v>44518</v>
      </c>
      <c r="N478" s="283">
        <v>44517</v>
      </c>
      <c r="O478" s="283">
        <v>44545</v>
      </c>
      <c r="P478" s="275" t="s">
        <v>7</v>
      </c>
      <c r="Q478" s="275" t="s">
        <v>25</v>
      </c>
      <c r="V478" s="275"/>
      <c r="X478" s="275"/>
      <c r="Y478" s="275"/>
      <c r="Z478" s="276" t="str">
        <f>VLOOKUP(功能_33[[#This Row],[User]],SKL放款!A:G,7,FALSE)</f>
        <v>放款管理課</v>
      </c>
      <c r="AA478" s="283">
        <v>44545</v>
      </c>
      <c r="AB478" s="283" t="s">
        <v>2408</v>
      </c>
      <c r="AC478" s="283">
        <v>44540</v>
      </c>
      <c r="AD478" s="283">
        <v>44540</v>
      </c>
      <c r="AE478" s="215" t="s">
        <v>3008</v>
      </c>
      <c r="AF478" s="283"/>
      <c r="AG478" s="283"/>
      <c r="AH478" s="334"/>
      <c r="AI478" s="283">
        <f>IFERROR(IF(VLOOKUP(功能_33[[#This Row],[功能代號]],E:S,11,FALSE)=0,"",VLOOKUP(功能_33[[#This Row],[功能代號]],E:S,11,FALSE)),"")</f>
        <v>44545</v>
      </c>
      <c r="AJ478" s="283"/>
      <c r="AK478" s="283"/>
      <c r="AL478" s="276"/>
      <c r="AN478" s="275" t="s">
        <v>2700</v>
      </c>
      <c r="AO478" s="276" t="s">
        <v>2811</v>
      </c>
      <c r="AQ478" s="507" t="str">
        <f t="shared" si="66"/>
        <v>8-3</v>
      </c>
      <c r="AR478" s="509" t="str">
        <f t="shared" si="67"/>
        <v/>
      </c>
      <c r="AS478" s="511" t="str">
        <f t="shared" si="68"/>
        <v/>
      </c>
      <c r="AT478" s="513" t="str">
        <f t="shared" si="69"/>
        <v/>
      </c>
      <c r="AU478" s="515" t="str">
        <f t="shared" si="70"/>
        <v/>
      </c>
      <c r="AV478" s="517" t="str">
        <f t="shared" si="71"/>
        <v/>
      </c>
      <c r="AW478" s="589" t="str">
        <f>IFERROR(VLOOKUP(功能_33[[#This Row],[功能代號]],SIT_FT!D:D,1,FALSE),"")</f>
        <v/>
      </c>
    </row>
    <row r="479" spans="3:49" ht="13.5" hidden="1" x14ac:dyDescent="0.3">
      <c r="C479" s="276" t="s">
        <v>84</v>
      </c>
      <c r="D479" s="276" t="s">
        <v>2494</v>
      </c>
      <c r="E479" s="275" t="s">
        <v>1240</v>
      </c>
      <c r="F479" s="276" t="s">
        <v>1241</v>
      </c>
      <c r="G479" s="276" t="s">
        <v>1119</v>
      </c>
      <c r="H479" s="275" t="s">
        <v>122</v>
      </c>
      <c r="I479" s="275" t="s">
        <v>123</v>
      </c>
      <c r="J479" s="282" t="s">
        <v>2979</v>
      </c>
      <c r="K479" s="283">
        <v>44589</v>
      </c>
      <c r="L479" s="283"/>
      <c r="M479" s="283">
        <v>44518</v>
      </c>
      <c r="N479" s="283">
        <v>44517</v>
      </c>
      <c r="O479" s="283">
        <v>44545</v>
      </c>
      <c r="P479" s="275" t="s">
        <v>7</v>
      </c>
      <c r="Q479" s="275" t="s">
        <v>25</v>
      </c>
      <c r="V479" s="275"/>
      <c r="X479" s="275"/>
      <c r="Y479" s="275"/>
      <c r="Z479" s="276" t="str">
        <f>VLOOKUP(功能_33[[#This Row],[User]],SKL放款!A:G,7,FALSE)</f>
        <v>放款管理課</v>
      </c>
      <c r="AA479" s="283">
        <v>44545</v>
      </c>
      <c r="AB479" s="283" t="s">
        <v>2408</v>
      </c>
      <c r="AC479" s="283">
        <v>44540</v>
      </c>
      <c r="AD479" s="283">
        <v>44540</v>
      </c>
      <c r="AE479" s="215" t="s">
        <v>3008</v>
      </c>
      <c r="AF479" s="283"/>
      <c r="AG479" s="283"/>
      <c r="AH479" s="334"/>
      <c r="AI479" s="283">
        <f>IFERROR(IF(VLOOKUP(功能_33[[#This Row],[功能代號]],E:S,11,FALSE)=0,"",VLOOKUP(功能_33[[#This Row],[功能代號]],E:S,11,FALSE)),"")</f>
        <v>44545</v>
      </c>
      <c r="AJ479" s="283"/>
      <c r="AK479" s="283"/>
      <c r="AL479" s="276"/>
      <c r="AN479" s="275" t="s">
        <v>2700</v>
      </c>
      <c r="AO479" s="276" t="s">
        <v>2811</v>
      </c>
      <c r="AQ479" s="507" t="str">
        <f t="shared" si="66"/>
        <v>8-3</v>
      </c>
      <c r="AR479" s="509" t="str">
        <f t="shared" si="67"/>
        <v/>
      </c>
      <c r="AS479" s="511" t="str">
        <f t="shared" si="68"/>
        <v/>
      </c>
      <c r="AT479" s="513" t="str">
        <f t="shared" si="69"/>
        <v/>
      </c>
      <c r="AU479" s="515" t="str">
        <f t="shared" si="70"/>
        <v/>
      </c>
      <c r="AV479" s="517" t="str">
        <f t="shared" si="71"/>
        <v/>
      </c>
      <c r="AW479" s="589" t="str">
        <f>IFERROR(VLOOKUP(功能_33[[#This Row],[功能代號]],SIT_FT!D:D,1,FALSE),"")</f>
        <v/>
      </c>
    </row>
    <row r="480" spans="3:49" ht="13.5" hidden="1" x14ac:dyDescent="0.3">
      <c r="C480" s="276" t="s">
        <v>84</v>
      </c>
      <c r="D480" s="276" t="s">
        <v>2494</v>
      </c>
      <c r="E480" s="275" t="s">
        <v>1242</v>
      </c>
      <c r="F480" s="276" t="s">
        <v>1243</v>
      </c>
      <c r="G480" s="276" t="s">
        <v>1119</v>
      </c>
      <c r="H480" s="275" t="s">
        <v>122</v>
      </c>
      <c r="I480" s="275" t="s">
        <v>123</v>
      </c>
      <c r="J480" s="282" t="s">
        <v>2979</v>
      </c>
      <c r="K480" s="283">
        <v>44589</v>
      </c>
      <c r="L480" s="283"/>
      <c r="M480" s="283">
        <v>44518</v>
      </c>
      <c r="N480" s="283">
        <v>44517</v>
      </c>
      <c r="O480" s="283">
        <v>44545</v>
      </c>
      <c r="P480" s="275" t="s">
        <v>7</v>
      </c>
      <c r="Q480" s="275" t="s">
        <v>25</v>
      </c>
      <c r="V480" s="275"/>
      <c r="X480" s="275"/>
      <c r="Y480" s="275"/>
      <c r="Z480" s="276" t="str">
        <f>VLOOKUP(功能_33[[#This Row],[User]],SKL放款!A:G,7,FALSE)</f>
        <v>放款管理課</v>
      </c>
      <c r="AA480" s="283">
        <v>44545</v>
      </c>
      <c r="AB480" s="283" t="s">
        <v>2408</v>
      </c>
      <c r="AC480" s="283">
        <v>44540</v>
      </c>
      <c r="AD480" s="283">
        <v>44540</v>
      </c>
      <c r="AE480" s="215" t="s">
        <v>3008</v>
      </c>
      <c r="AF480" s="283"/>
      <c r="AG480" s="283"/>
      <c r="AH480" s="334"/>
      <c r="AI480" s="283">
        <f>IFERROR(IF(VLOOKUP(功能_33[[#This Row],[功能代號]],E:S,11,FALSE)=0,"",VLOOKUP(功能_33[[#This Row],[功能代號]],E:S,11,FALSE)),"")</f>
        <v>44545</v>
      </c>
      <c r="AJ480" s="283"/>
      <c r="AK480" s="283"/>
      <c r="AL480" s="276"/>
      <c r="AN480" s="275" t="s">
        <v>2700</v>
      </c>
      <c r="AO480" s="276" t="s">
        <v>2811</v>
      </c>
      <c r="AQ480" s="507" t="str">
        <f t="shared" si="66"/>
        <v>8-3</v>
      </c>
      <c r="AR480" s="509" t="str">
        <f t="shared" si="67"/>
        <v/>
      </c>
      <c r="AS480" s="511" t="str">
        <f t="shared" si="68"/>
        <v/>
      </c>
      <c r="AT480" s="513" t="str">
        <f t="shared" si="69"/>
        <v/>
      </c>
      <c r="AU480" s="515" t="str">
        <f t="shared" si="70"/>
        <v/>
      </c>
      <c r="AV480" s="517" t="str">
        <f t="shared" si="71"/>
        <v/>
      </c>
      <c r="AW480" s="589" t="str">
        <f>IFERROR(VLOOKUP(功能_33[[#This Row],[功能代號]],SIT_FT!D:D,1,FALSE),"")</f>
        <v/>
      </c>
    </row>
    <row r="481" spans="3:49" ht="13.5" hidden="1" x14ac:dyDescent="0.3">
      <c r="C481" s="276" t="s">
        <v>84</v>
      </c>
      <c r="D481" s="276" t="s">
        <v>2494</v>
      </c>
      <c r="E481" s="275" t="s">
        <v>1244</v>
      </c>
      <c r="F481" s="276" t="s">
        <v>1245</v>
      </c>
      <c r="G481" s="276" t="s">
        <v>1119</v>
      </c>
      <c r="H481" s="275" t="s">
        <v>122</v>
      </c>
      <c r="I481" s="275" t="s">
        <v>123</v>
      </c>
      <c r="J481" s="282" t="s">
        <v>2979</v>
      </c>
      <c r="K481" s="283">
        <v>44589</v>
      </c>
      <c r="L481" s="283"/>
      <c r="M481" s="283">
        <v>44518</v>
      </c>
      <c r="N481" s="283">
        <v>44517</v>
      </c>
      <c r="O481" s="283">
        <v>44545</v>
      </c>
      <c r="P481" s="275" t="s">
        <v>7</v>
      </c>
      <c r="Q481" s="275" t="s">
        <v>25</v>
      </c>
      <c r="V481" s="275"/>
      <c r="X481" s="275"/>
      <c r="Y481" s="275"/>
      <c r="Z481" s="276" t="str">
        <f>VLOOKUP(功能_33[[#This Row],[User]],SKL放款!A:G,7,FALSE)</f>
        <v>放款管理課</v>
      </c>
      <c r="AA481" s="283">
        <v>44545</v>
      </c>
      <c r="AB481" s="283" t="s">
        <v>2408</v>
      </c>
      <c r="AC481" s="283">
        <v>44540</v>
      </c>
      <c r="AD481" s="283">
        <v>44540</v>
      </c>
      <c r="AE481" s="215" t="s">
        <v>3008</v>
      </c>
      <c r="AF481" s="283"/>
      <c r="AG481" s="283"/>
      <c r="AH481" s="334"/>
      <c r="AI481" s="283">
        <f>IFERROR(IF(VLOOKUP(功能_33[[#This Row],[功能代號]],E:S,11,FALSE)=0,"",VLOOKUP(功能_33[[#This Row],[功能代號]],E:S,11,FALSE)),"")</f>
        <v>44545</v>
      </c>
      <c r="AJ481" s="283"/>
      <c r="AK481" s="283"/>
      <c r="AL481" s="276"/>
      <c r="AN481" s="275" t="s">
        <v>2700</v>
      </c>
      <c r="AO481" s="276" t="s">
        <v>2811</v>
      </c>
      <c r="AQ481" s="507" t="str">
        <f t="shared" si="66"/>
        <v>8-3</v>
      </c>
      <c r="AR481" s="509" t="str">
        <f t="shared" si="67"/>
        <v/>
      </c>
      <c r="AS481" s="511" t="str">
        <f t="shared" si="68"/>
        <v/>
      </c>
      <c r="AT481" s="513" t="str">
        <f t="shared" si="69"/>
        <v/>
      </c>
      <c r="AU481" s="515" t="str">
        <f t="shared" si="70"/>
        <v/>
      </c>
      <c r="AV481" s="517" t="str">
        <f t="shared" si="71"/>
        <v/>
      </c>
      <c r="AW481" s="589" t="str">
        <f>IFERROR(VLOOKUP(功能_33[[#This Row],[功能代號]],SIT_FT!D:D,1,FALSE),"")</f>
        <v/>
      </c>
    </row>
    <row r="482" spans="3:49" ht="13.5" hidden="1" x14ac:dyDescent="0.3">
      <c r="C482" s="276" t="s">
        <v>84</v>
      </c>
      <c r="D482" s="276" t="s">
        <v>2494</v>
      </c>
      <c r="E482" s="275" t="s">
        <v>1246</v>
      </c>
      <c r="F482" s="276" t="s">
        <v>1247</v>
      </c>
      <c r="G482" s="276" t="s">
        <v>1119</v>
      </c>
      <c r="H482" s="275" t="s">
        <v>122</v>
      </c>
      <c r="I482" s="275" t="s">
        <v>123</v>
      </c>
      <c r="J482" s="282" t="s">
        <v>2979</v>
      </c>
      <c r="K482" s="283">
        <v>44589</v>
      </c>
      <c r="L482" s="283"/>
      <c r="M482" s="283">
        <v>44518</v>
      </c>
      <c r="N482" s="283">
        <v>44517</v>
      </c>
      <c r="O482" s="283">
        <v>44545</v>
      </c>
      <c r="P482" s="275" t="s">
        <v>7</v>
      </c>
      <c r="Q482" s="275" t="s">
        <v>25</v>
      </c>
      <c r="V482" s="275"/>
      <c r="X482" s="275"/>
      <c r="Y482" s="275"/>
      <c r="Z482" s="276" t="str">
        <f>VLOOKUP(功能_33[[#This Row],[User]],SKL放款!A:G,7,FALSE)</f>
        <v>放款管理課</v>
      </c>
      <c r="AA482" s="283">
        <v>44545</v>
      </c>
      <c r="AB482" s="283" t="s">
        <v>2408</v>
      </c>
      <c r="AC482" s="283">
        <v>44540</v>
      </c>
      <c r="AD482" s="283">
        <v>44540</v>
      </c>
      <c r="AE482" s="215" t="s">
        <v>3008</v>
      </c>
      <c r="AF482" s="283"/>
      <c r="AG482" s="283"/>
      <c r="AH482" s="334"/>
      <c r="AI482" s="283">
        <f>IFERROR(IF(VLOOKUP(功能_33[[#This Row],[功能代號]],E:S,11,FALSE)=0,"",VLOOKUP(功能_33[[#This Row],[功能代號]],E:S,11,FALSE)),"")</f>
        <v>44545</v>
      </c>
      <c r="AJ482" s="283"/>
      <c r="AK482" s="283"/>
      <c r="AL482" s="276"/>
      <c r="AN482" s="275" t="s">
        <v>2700</v>
      </c>
      <c r="AO482" s="276" t="s">
        <v>2811</v>
      </c>
      <c r="AQ482" s="507" t="str">
        <f t="shared" si="66"/>
        <v>8-3</v>
      </c>
      <c r="AR482" s="509" t="str">
        <f t="shared" si="67"/>
        <v/>
      </c>
      <c r="AS482" s="511" t="str">
        <f t="shared" si="68"/>
        <v/>
      </c>
      <c r="AT482" s="513" t="str">
        <f t="shared" si="69"/>
        <v/>
      </c>
      <c r="AU482" s="515" t="str">
        <f t="shared" si="70"/>
        <v/>
      </c>
      <c r="AV482" s="517" t="str">
        <f t="shared" si="71"/>
        <v/>
      </c>
      <c r="AW482" s="589" t="str">
        <f>IFERROR(VLOOKUP(功能_33[[#This Row],[功能代號]],SIT_FT!D:D,1,FALSE),"")</f>
        <v/>
      </c>
    </row>
    <row r="483" spans="3:49" ht="13.5" hidden="1" x14ac:dyDescent="0.3">
      <c r="C483" s="276" t="s">
        <v>84</v>
      </c>
      <c r="D483" s="276" t="s">
        <v>2494</v>
      </c>
      <c r="E483" s="275" t="s">
        <v>1248</v>
      </c>
      <c r="F483" s="276" t="s">
        <v>1249</v>
      </c>
      <c r="G483" s="276" t="s">
        <v>1119</v>
      </c>
      <c r="H483" s="275" t="s">
        <v>122</v>
      </c>
      <c r="I483" s="275" t="s">
        <v>123</v>
      </c>
      <c r="J483" s="282" t="s">
        <v>2979</v>
      </c>
      <c r="K483" s="283">
        <v>44589</v>
      </c>
      <c r="L483" s="283"/>
      <c r="M483" s="283">
        <v>44518</v>
      </c>
      <c r="N483" s="283">
        <v>44517</v>
      </c>
      <c r="O483" s="283">
        <v>44545</v>
      </c>
      <c r="P483" s="275" t="s">
        <v>7</v>
      </c>
      <c r="Q483" s="275" t="s">
        <v>25</v>
      </c>
      <c r="V483" s="275"/>
      <c r="X483" s="275"/>
      <c r="Y483" s="275"/>
      <c r="Z483" s="276" t="str">
        <f>VLOOKUP(功能_33[[#This Row],[User]],SKL放款!A:G,7,FALSE)</f>
        <v>放款管理課</v>
      </c>
      <c r="AA483" s="283">
        <v>44545</v>
      </c>
      <c r="AB483" s="283" t="s">
        <v>2408</v>
      </c>
      <c r="AC483" s="283">
        <v>44540</v>
      </c>
      <c r="AD483" s="283">
        <v>44540</v>
      </c>
      <c r="AE483" s="215" t="s">
        <v>3008</v>
      </c>
      <c r="AF483" s="283"/>
      <c r="AG483" s="283"/>
      <c r="AH483" s="334"/>
      <c r="AI483" s="283">
        <f>IFERROR(IF(VLOOKUP(功能_33[[#This Row],[功能代號]],E:S,11,FALSE)=0,"",VLOOKUP(功能_33[[#This Row],[功能代號]],E:S,11,FALSE)),"")</f>
        <v>44545</v>
      </c>
      <c r="AJ483" s="283"/>
      <c r="AK483" s="283"/>
      <c r="AL483" s="276"/>
      <c r="AN483" s="275" t="s">
        <v>2700</v>
      </c>
      <c r="AO483" s="276" t="s">
        <v>2811</v>
      </c>
      <c r="AQ483" s="507" t="str">
        <f t="shared" si="66"/>
        <v>8-3</v>
      </c>
      <c r="AR483" s="509" t="str">
        <f t="shared" si="67"/>
        <v/>
      </c>
      <c r="AS483" s="511" t="str">
        <f t="shared" si="68"/>
        <v/>
      </c>
      <c r="AT483" s="513" t="str">
        <f t="shared" si="69"/>
        <v/>
      </c>
      <c r="AU483" s="515" t="str">
        <f t="shared" si="70"/>
        <v/>
      </c>
      <c r="AV483" s="517" t="str">
        <f t="shared" si="71"/>
        <v/>
      </c>
      <c r="AW483" s="589" t="str">
        <f>IFERROR(VLOOKUP(功能_33[[#This Row],[功能代號]],SIT_FT!D:D,1,FALSE),"")</f>
        <v/>
      </c>
    </row>
    <row r="484" spans="3:49" ht="13.5" hidden="1" x14ac:dyDescent="0.3">
      <c r="C484" s="276" t="s">
        <v>84</v>
      </c>
      <c r="D484" s="276" t="s">
        <v>2494</v>
      </c>
      <c r="E484" s="275" t="s">
        <v>1250</v>
      </c>
      <c r="F484" s="276" t="s">
        <v>1251</v>
      </c>
      <c r="G484" s="276" t="s">
        <v>1119</v>
      </c>
      <c r="H484" s="275" t="s">
        <v>122</v>
      </c>
      <c r="I484" s="275" t="s">
        <v>123</v>
      </c>
      <c r="J484" s="282" t="s">
        <v>2979</v>
      </c>
      <c r="K484" s="283">
        <v>44589</v>
      </c>
      <c r="L484" s="283"/>
      <c r="M484" s="283">
        <v>44518</v>
      </c>
      <c r="N484" s="283">
        <v>44517</v>
      </c>
      <c r="O484" s="283">
        <v>44545</v>
      </c>
      <c r="P484" s="275" t="s">
        <v>7</v>
      </c>
      <c r="Q484" s="275" t="s">
        <v>25</v>
      </c>
      <c r="V484" s="275"/>
      <c r="X484" s="275"/>
      <c r="Y484" s="275"/>
      <c r="Z484" s="276" t="str">
        <f>VLOOKUP(功能_33[[#This Row],[User]],SKL放款!A:G,7,FALSE)</f>
        <v>放款管理課</v>
      </c>
      <c r="AA484" s="283">
        <v>44545</v>
      </c>
      <c r="AB484" s="283" t="s">
        <v>2408</v>
      </c>
      <c r="AC484" s="283">
        <v>44540</v>
      </c>
      <c r="AD484" s="283">
        <v>44540</v>
      </c>
      <c r="AE484" s="215" t="s">
        <v>3008</v>
      </c>
      <c r="AF484" s="283"/>
      <c r="AG484" s="283"/>
      <c r="AH484" s="334"/>
      <c r="AI484" s="283">
        <f>IFERROR(IF(VLOOKUP(功能_33[[#This Row],[功能代號]],E:S,11,FALSE)=0,"",VLOOKUP(功能_33[[#This Row],[功能代號]],E:S,11,FALSE)),"")</f>
        <v>44545</v>
      </c>
      <c r="AJ484" s="283"/>
      <c r="AK484" s="283"/>
      <c r="AL484" s="276"/>
      <c r="AN484" s="275" t="s">
        <v>2700</v>
      </c>
      <c r="AO484" s="276" t="s">
        <v>2811</v>
      </c>
      <c r="AQ484" s="507" t="str">
        <f t="shared" si="66"/>
        <v>8-3</v>
      </c>
      <c r="AR484" s="509" t="str">
        <f t="shared" si="67"/>
        <v/>
      </c>
      <c r="AS484" s="511" t="str">
        <f t="shared" si="68"/>
        <v/>
      </c>
      <c r="AT484" s="513" t="str">
        <f t="shared" si="69"/>
        <v/>
      </c>
      <c r="AU484" s="515" t="str">
        <f t="shared" si="70"/>
        <v/>
      </c>
      <c r="AV484" s="517" t="str">
        <f t="shared" si="71"/>
        <v/>
      </c>
      <c r="AW484" s="589" t="str">
        <f>IFERROR(VLOOKUP(功能_33[[#This Row],[功能代號]],SIT_FT!D:D,1,FALSE),"")</f>
        <v/>
      </c>
    </row>
    <row r="485" spans="3:49" ht="13.5" hidden="1" x14ac:dyDescent="0.3">
      <c r="C485" s="276" t="s">
        <v>84</v>
      </c>
      <c r="D485" s="276" t="s">
        <v>2494</v>
      </c>
      <c r="E485" s="275" t="s">
        <v>1252</v>
      </c>
      <c r="F485" s="276" t="s">
        <v>1253</v>
      </c>
      <c r="G485" s="276" t="s">
        <v>1119</v>
      </c>
      <c r="H485" s="275" t="s">
        <v>122</v>
      </c>
      <c r="I485" s="275" t="s">
        <v>123</v>
      </c>
      <c r="J485" s="282" t="s">
        <v>2979</v>
      </c>
      <c r="K485" s="283">
        <v>44589</v>
      </c>
      <c r="L485" s="283"/>
      <c r="M485" s="283">
        <v>44518</v>
      </c>
      <c r="N485" s="283">
        <v>44517</v>
      </c>
      <c r="O485" s="283">
        <v>44545</v>
      </c>
      <c r="P485" s="275" t="s">
        <v>7</v>
      </c>
      <c r="Q485" s="275" t="s">
        <v>25</v>
      </c>
      <c r="V485" s="275"/>
      <c r="X485" s="275"/>
      <c r="Y485" s="275"/>
      <c r="Z485" s="276" t="str">
        <f>VLOOKUP(功能_33[[#This Row],[User]],SKL放款!A:G,7,FALSE)</f>
        <v>放款管理課</v>
      </c>
      <c r="AA485" s="283">
        <v>44545</v>
      </c>
      <c r="AB485" s="283" t="s">
        <v>2408</v>
      </c>
      <c r="AC485" s="283">
        <v>44540</v>
      </c>
      <c r="AD485" s="283">
        <v>44540</v>
      </c>
      <c r="AE485" s="215" t="s">
        <v>3008</v>
      </c>
      <c r="AF485" s="283"/>
      <c r="AG485" s="283"/>
      <c r="AH485" s="334"/>
      <c r="AI485" s="283">
        <f>IFERROR(IF(VLOOKUP(功能_33[[#This Row],[功能代號]],E:S,11,FALSE)=0,"",VLOOKUP(功能_33[[#This Row],[功能代號]],E:S,11,FALSE)),"")</f>
        <v>44545</v>
      </c>
      <c r="AJ485" s="283"/>
      <c r="AK485" s="283"/>
      <c r="AL485" s="276"/>
      <c r="AN485" s="275" t="s">
        <v>2700</v>
      </c>
      <c r="AO485" s="276" t="s">
        <v>2811</v>
      </c>
      <c r="AQ485" s="507" t="str">
        <f t="shared" si="66"/>
        <v>8-3</v>
      </c>
      <c r="AR485" s="509" t="str">
        <f t="shared" si="67"/>
        <v/>
      </c>
      <c r="AS485" s="511" t="str">
        <f t="shared" si="68"/>
        <v/>
      </c>
      <c r="AT485" s="513" t="str">
        <f t="shared" si="69"/>
        <v/>
      </c>
      <c r="AU485" s="515" t="str">
        <f t="shared" si="70"/>
        <v/>
      </c>
      <c r="AV485" s="517" t="str">
        <f t="shared" si="71"/>
        <v/>
      </c>
      <c r="AW485" s="589" t="str">
        <f>IFERROR(VLOOKUP(功能_33[[#This Row],[功能代號]],SIT_FT!D:D,1,FALSE),"")</f>
        <v/>
      </c>
    </row>
    <row r="486" spans="3:49" ht="13.5" hidden="1" x14ac:dyDescent="0.3">
      <c r="C486" s="276" t="s">
        <v>84</v>
      </c>
      <c r="D486" s="276" t="s">
        <v>2494</v>
      </c>
      <c r="E486" s="275" t="s">
        <v>1254</v>
      </c>
      <c r="F486" s="276" t="s">
        <v>1255</v>
      </c>
      <c r="G486" s="276" t="s">
        <v>1119</v>
      </c>
      <c r="H486" s="275" t="s">
        <v>122</v>
      </c>
      <c r="I486" s="275" t="s">
        <v>123</v>
      </c>
      <c r="J486" s="282" t="s">
        <v>2979</v>
      </c>
      <c r="K486" s="283">
        <v>44589</v>
      </c>
      <c r="L486" s="283"/>
      <c r="M486" s="283">
        <v>44518</v>
      </c>
      <c r="N486" s="283">
        <v>44517</v>
      </c>
      <c r="O486" s="283">
        <v>44545</v>
      </c>
      <c r="P486" s="275" t="s">
        <v>7</v>
      </c>
      <c r="Q486" s="275" t="s">
        <v>25</v>
      </c>
      <c r="V486" s="275"/>
      <c r="X486" s="275"/>
      <c r="Y486" s="275"/>
      <c r="Z486" s="276" t="str">
        <f>VLOOKUP(功能_33[[#This Row],[User]],SKL放款!A:G,7,FALSE)</f>
        <v>放款管理課</v>
      </c>
      <c r="AA486" s="283">
        <v>44545</v>
      </c>
      <c r="AB486" s="283" t="s">
        <v>2408</v>
      </c>
      <c r="AC486" s="283">
        <v>44540</v>
      </c>
      <c r="AD486" s="283">
        <v>44540</v>
      </c>
      <c r="AE486" s="215" t="s">
        <v>3008</v>
      </c>
      <c r="AF486" s="283"/>
      <c r="AG486" s="283"/>
      <c r="AH486" s="334"/>
      <c r="AI486" s="283">
        <f>IFERROR(IF(VLOOKUP(功能_33[[#This Row],[功能代號]],E:S,11,FALSE)=0,"",VLOOKUP(功能_33[[#This Row],[功能代號]],E:S,11,FALSE)),"")</f>
        <v>44545</v>
      </c>
      <c r="AJ486" s="283"/>
      <c r="AK486" s="283"/>
      <c r="AL486" s="276"/>
      <c r="AN486" s="275" t="s">
        <v>2700</v>
      </c>
      <c r="AO486" s="276" t="s">
        <v>2811</v>
      </c>
      <c r="AQ486" s="507" t="str">
        <f t="shared" si="66"/>
        <v>8-3</v>
      </c>
      <c r="AR486" s="509" t="str">
        <f t="shared" si="67"/>
        <v/>
      </c>
      <c r="AS486" s="511" t="str">
        <f t="shared" si="68"/>
        <v/>
      </c>
      <c r="AT486" s="513" t="str">
        <f t="shared" si="69"/>
        <v/>
      </c>
      <c r="AU486" s="515" t="str">
        <f t="shared" si="70"/>
        <v/>
      </c>
      <c r="AV486" s="517" t="str">
        <f t="shared" si="71"/>
        <v/>
      </c>
      <c r="AW486" s="589" t="str">
        <f>IFERROR(VLOOKUP(功能_33[[#This Row],[功能代號]],SIT_FT!D:D,1,FALSE),"")</f>
        <v/>
      </c>
    </row>
    <row r="487" spans="3:49" ht="13.5" hidden="1" x14ac:dyDescent="0.3">
      <c r="C487" s="276" t="s">
        <v>84</v>
      </c>
      <c r="D487" s="276" t="s">
        <v>2494</v>
      </c>
      <c r="E487" s="275" t="s">
        <v>1256</v>
      </c>
      <c r="F487" s="276" t="s">
        <v>1257</v>
      </c>
      <c r="G487" s="276" t="s">
        <v>1119</v>
      </c>
      <c r="H487" s="275" t="s">
        <v>122</v>
      </c>
      <c r="I487" s="275" t="s">
        <v>123</v>
      </c>
      <c r="J487" s="282" t="s">
        <v>2979</v>
      </c>
      <c r="K487" s="283">
        <v>44589</v>
      </c>
      <c r="L487" s="283"/>
      <c r="M487" s="283">
        <v>44519</v>
      </c>
      <c r="N487" s="283">
        <v>44517</v>
      </c>
      <c r="O487" s="283">
        <v>44545</v>
      </c>
      <c r="P487" s="275" t="s">
        <v>7</v>
      </c>
      <c r="Q487" s="275" t="s">
        <v>25</v>
      </c>
      <c r="V487" s="275"/>
      <c r="X487" s="275"/>
      <c r="Y487" s="275"/>
      <c r="Z487" s="276" t="str">
        <f>VLOOKUP(功能_33[[#This Row],[User]],SKL放款!A:G,7,FALSE)</f>
        <v>放款管理課</v>
      </c>
      <c r="AA487" s="283">
        <v>44545</v>
      </c>
      <c r="AB487" s="283" t="s">
        <v>2408</v>
      </c>
      <c r="AC487" s="283">
        <v>44540</v>
      </c>
      <c r="AD487" s="283">
        <v>44540</v>
      </c>
      <c r="AE487" s="215" t="s">
        <v>3008</v>
      </c>
      <c r="AF487" s="283"/>
      <c r="AG487" s="283"/>
      <c r="AH487" s="334"/>
      <c r="AI487" s="283">
        <f>IFERROR(IF(VLOOKUP(功能_33[[#This Row],[功能代號]],E:S,11,FALSE)=0,"",VLOOKUP(功能_33[[#This Row],[功能代號]],E:S,11,FALSE)),"")</f>
        <v>44545</v>
      </c>
      <c r="AJ487" s="283"/>
      <c r="AK487" s="283"/>
      <c r="AL487" s="276"/>
      <c r="AN487" s="275" t="s">
        <v>2700</v>
      </c>
      <c r="AO487" s="276" t="s">
        <v>2811</v>
      </c>
      <c r="AQ487" s="507" t="str">
        <f t="shared" si="66"/>
        <v>8-3</v>
      </c>
      <c r="AR487" s="509" t="str">
        <f t="shared" si="67"/>
        <v/>
      </c>
      <c r="AS487" s="511" t="str">
        <f t="shared" si="68"/>
        <v/>
      </c>
      <c r="AT487" s="513" t="str">
        <f t="shared" si="69"/>
        <v/>
      </c>
      <c r="AU487" s="515" t="str">
        <f t="shared" si="70"/>
        <v/>
      </c>
      <c r="AV487" s="517" t="str">
        <f t="shared" si="71"/>
        <v/>
      </c>
      <c r="AW487" s="589" t="str">
        <f>IFERROR(VLOOKUP(功能_33[[#This Row],[功能代號]],SIT_FT!D:D,1,FALSE),"")</f>
        <v/>
      </c>
    </row>
    <row r="488" spans="3:49" ht="13.5" hidden="1" x14ac:dyDescent="0.3">
      <c r="C488" s="276" t="s">
        <v>84</v>
      </c>
      <c r="D488" s="276" t="s">
        <v>2494</v>
      </c>
      <c r="E488" s="275" t="s">
        <v>1258</v>
      </c>
      <c r="F488" s="276" t="s">
        <v>1259</v>
      </c>
      <c r="G488" s="276" t="s">
        <v>1119</v>
      </c>
      <c r="H488" s="275" t="s">
        <v>122</v>
      </c>
      <c r="I488" s="275" t="s">
        <v>123</v>
      </c>
      <c r="J488" s="282" t="s">
        <v>2979</v>
      </c>
      <c r="K488" s="283">
        <v>44589</v>
      </c>
      <c r="L488" s="283"/>
      <c r="M488" s="283">
        <v>44519</v>
      </c>
      <c r="N488" s="283">
        <v>44517</v>
      </c>
      <c r="O488" s="283">
        <v>44545</v>
      </c>
      <c r="P488" s="275" t="s">
        <v>7</v>
      </c>
      <c r="Q488" s="275" t="s">
        <v>25</v>
      </c>
      <c r="V488" s="275"/>
      <c r="X488" s="275"/>
      <c r="Y488" s="275"/>
      <c r="Z488" s="276" t="str">
        <f>VLOOKUP(功能_33[[#This Row],[User]],SKL放款!A:G,7,FALSE)</f>
        <v>放款管理課</v>
      </c>
      <c r="AA488" s="283">
        <v>44545</v>
      </c>
      <c r="AB488" s="283" t="s">
        <v>2408</v>
      </c>
      <c r="AC488" s="283">
        <v>44540</v>
      </c>
      <c r="AD488" s="283">
        <v>44540</v>
      </c>
      <c r="AE488" s="215" t="s">
        <v>3008</v>
      </c>
      <c r="AF488" s="283"/>
      <c r="AG488" s="283"/>
      <c r="AH488" s="334"/>
      <c r="AI488" s="283">
        <f>IFERROR(IF(VLOOKUP(功能_33[[#This Row],[功能代號]],E:S,11,FALSE)=0,"",VLOOKUP(功能_33[[#This Row],[功能代號]],E:S,11,FALSE)),"")</f>
        <v>44545</v>
      </c>
      <c r="AJ488" s="283"/>
      <c r="AK488" s="283"/>
      <c r="AL488" s="276"/>
      <c r="AN488" s="275" t="s">
        <v>2700</v>
      </c>
      <c r="AO488" s="276" t="s">
        <v>2811</v>
      </c>
      <c r="AQ488" s="507" t="str">
        <f t="shared" si="66"/>
        <v>8-3</v>
      </c>
      <c r="AR488" s="509" t="str">
        <f t="shared" si="67"/>
        <v/>
      </c>
      <c r="AS488" s="511" t="str">
        <f t="shared" si="68"/>
        <v/>
      </c>
      <c r="AT488" s="513" t="str">
        <f t="shared" si="69"/>
        <v/>
      </c>
      <c r="AU488" s="515" t="str">
        <f t="shared" si="70"/>
        <v/>
      </c>
      <c r="AV488" s="517" t="str">
        <f t="shared" si="71"/>
        <v/>
      </c>
      <c r="AW488" s="589" t="str">
        <f>IFERROR(VLOOKUP(功能_33[[#This Row],[功能代號]],SIT_FT!D:D,1,FALSE),"")</f>
        <v/>
      </c>
    </row>
    <row r="489" spans="3:49" ht="13.5" hidden="1" x14ac:dyDescent="0.3">
      <c r="C489" s="276" t="s">
        <v>84</v>
      </c>
      <c r="D489" s="276" t="s">
        <v>2494</v>
      </c>
      <c r="E489" s="275" t="s">
        <v>1260</v>
      </c>
      <c r="F489" s="276" t="s">
        <v>1261</v>
      </c>
      <c r="G489" s="276" t="s">
        <v>1119</v>
      </c>
      <c r="H489" s="275" t="s">
        <v>122</v>
      </c>
      <c r="I489" s="275" t="s">
        <v>123</v>
      </c>
      <c r="J489" s="282" t="s">
        <v>2979</v>
      </c>
      <c r="K489" s="283">
        <v>44589</v>
      </c>
      <c r="L489" s="283"/>
      <c r="M489" s="283">
        <v>44519</v>
      </c>
      <c r="N489" s="283">
        <v>44517</v>
      </c>
      <c r="O489" s="283">
        <v>44545</v>
      </c>
      <c r="P489" s="275" t="s">
        <v>7</v>
      </c>
      <c r="Q489" s="275" t="s">
        <v>25</v>
      </c>
      <c r="V489" s="275"/>
      <c r="X489" s="275"/>
      <c r="Y489" s="275"/>
      <c r="Z489" s="276" t="str">
        <f>VLOOKUP(功能_33[[#This Row],[User]],SKL放款!A:G,7,FALSE)</f>
        <v>放款管理課</v>
      </c>
      <c r="AA489" s="283">
        <v>44545</v>
      </c>
      <c r="AB489" s="283" t="s">
        <v>2408</v>
      </c>
      <c r="AC489" s="283">
        <v>44540</v>
      </c>
      <c r="AD489" s="283">
        <v>44540</v>
      </c>
      <c r="AE489" s="215" t="s">
        <v>3008</v>
      </c>
      <c r="AF489" s="283"/>
      <c r="AG489" s="283"/>
      <c r="AH489" s="334"/>
      <c r="AI489" s="283">
        <f>IFERROR(IF(VLOOKUP(功能_33[[#This Row],[功能代號]],E:S,11,FALSE)=0,"",VLOOKUP(功能_33[[#This Row],[功能代號]],E:S,11,FALSE)),"")</f>
        <v>44545</v>
      </c>
      <c r="AJ489" s="283"/>
      <c r="AK489" s="283"/>
      <c r="AL489" s="276"/>
      <c r="AN489" s="275" t="s">
        <v>2700</v>
      </c>
      <c r="AO489" s="276" t="s">
        <v>2811</v>
      </c>
      <c r="AQ489" s="507" t="str">
        <f t="shared" si="66"/>
        <v>8-3</v>
      </c>
      <c r="AR489" s="509" t="str">
        <f t="shared" si="67"/>
        <v/>
      </c>
      <c r="AS489" s="511" t="str">
        <f t="shared" si="68"/>
        <v/>
      </c>
      <c r="AT489" s="513" t="str">
        <f t="shared" si="69"/>
        <v/>
      </c>
      <c r="AU489" s="515" t="str">
        <f t="shared" si="70"/>
        <v/>
      </c>
      <c r="AV489" s="517" t="str">
        <f t="shared" si="71"/>
        <v/>
      </c>
      <c r="AW489" s="589" t="str">
        <f>IFERROR(VLOOKUP(功能_33[[#This Row],[功能代號]],SIT_FT!D:D,1,FALSE),"")</f>
        <v/>
      </c>
    </row>
    <row r="490" spans="3:49" ht="13.5" hidden="1" x14ac:dyDescent="0.3">
      <c r="C490" s="276" t="s">
        <v>84</v>
      </c>
      <c r="D490" s="276" t="s">
        <v>2494</v>
      </c>
      <c r="E490" s="275" t="s">
        <v>1262</v>
      </c>
      <c r="F490" s="276" t="s">
        <v>1263</v>
      </c>
      <c r="G490" s="276" t="s">
        <v>1119</v>
      </c>
      <c r="H490" s="275" t="s">
        <v>122</v>
      </c>
      <c r="I490" s="275" t="s">
        <v>123</v>
      </c>
      <c r="J490" s="282" t="s">
        <v>2979</v>
      </c>
      <c r="K490" s="283">
        <v>44589</v>
      </c>
      <c r="L490" s="283"/>
      <c r="M490" s="283">
        <v>44519</v>
      </c>
      <c r="N490" s="283">
        <v>44517</v>
      </c>
      <c r="O490" s="283">
        <v>44545</v>
      </c>
      <c r="P490" s="275" t="s">
        <v>7</v>
      </c>
      <c r="Q490" s="275" t="s">
        <v>25</v>
      </c>
      <c r="V490" s="275"/>
      <c r="X490" s="275"/>
      <c r="Y490" s="275"/>
      <c r="Z490" s="276" t="str">
        <f>VLOOKUP(功能_33[[#This Row],[User]],SKL放款!A:G,7,FALSE)</f>
        <v>放款管理課</v>
      </c>
      <c r="AA490" s="283">
        <v>44545</v>
      </c>
      <c r="AB490" s="283" t="s">
        <v>2408</v>
      </c>
      <c r="AC490" s="283">
        <v>44540</v>
      </c>
      <c r="AD490" s="283">
        <v>44540</v>
      </c>
      <c r="AE490" s="215" t="s">
        <v>3008</v>
      </c>
      <c r="AF490" s="283"/>
      <c r="AG490" s="283"/>
      <c r="AH490" s="334"/>
      <c r="AI490" s="283">
        <f>IFERROR(IF(VLOOKUP(功能_33[[#This Row],[功能代號]],E:S,11,FALSE)=0,"",VLOOKUP(功能_33[[#This Row],[功能代號]],E:S,11,FALSE)),"")</f>
        <v>44545</v>
      </c>
      <c r="AJ490" s="283"/>
      <c r="AK490" s="283"/>
      <c r="AL490" s="276"/>
      <c r="AN490" s="275" t="s">
        <v>2700</v>
      </c>
      <c r="AO490" s="276" t="s">
        <v>2811</v>
      </c>
      <c r="AQ490" s="507" t="str">
        <f t="shared" si="66"/>
        <v>8-3</v>
      </c>
      <c r="AR490" s="509" t="str">
        <f t="shared" si="67"/>
        <v/>
      </c>
      <c r="AS490" s="511" t="str">
        <f t="shared" si="68"/>
        <v/>
      </c>
      <c r="AT490" s="513" t="str">
        <f t="shared" si="69"/>
        <v/>
      </c>
      <c r="AU490" s="515" t="str">
        <f t="shared" si="70"/>
        <v/>
      </c>
      <c r="AV490" s="517" t="str">
        <f t="shared" si="71"/>
        <v/>
      </c>
      <c r="AW490" s="589" t="str">
        <f>IFERROR(VLOOKUP(功能_33[[#This Row],[功能代號]],SIT_FT!D:D,1,FALSE),"")</f>
        <v/>
      </c>
    </row>
    <row r="491" spans="3:49" ht="13.5" hidden="1" x14ac:dyDescent="0.3">
      <c r="C491" s="276" t="s">
        <v>84</v>
      </c>
      <c r="D491" s="276" t="s">
        <v>2494</v>
      </c>
      <c r="E491" s="275" t="s">
        <v>1264</v>
      </c>
      <c r="F491" s="276" t="s">
        <v>1265</v>
      </c>
      <c r="G491" s="276" t="s">
        <v>1119</v>
      </c>
      <c r="H491" s="275" t="s">
        <v>122</v>
      </c>
      <c r="I491" s="275" t="s">
        <v>123</v>
      </c>
      <c r="J491" s="282" t="s">
        <v>2979</v>
      </c>
      <c r="K491" s="283">
        <v>44589</v>
      </c>
      <c r="L491" s="283"/>
      <c r="M491" s="283">
        <v>44519</v>
      </c>
      <c r="N491" s="283">
        <v>44517</v>
      </c>
      <c r="O491" s="283">
        <v>44545</v>
      </c>
      <c r="P491" s="275" t="s">
        <v>7</v>
      </c>
      <c r="Q491" s="275" t="s">
        <v>25</v>
      </c>
      <c r="V491" s="275"/>
      <c r="X491" s="275"/>
      <c r="Y491" s="275"/>
      <c r="Z491" s="276" t="str">
        <f>VLOOKUP(功能_33[[#This Row],[User]],SKL放款!A:G,7,FALSE)</f>
        <v>放款管理課</v>
      </c>
      <c r="AA491" s="283">
        <v>44545</v>
      </c>
      <c r="AB491" s="283" t="s">
        <v>2408</v>
      </c>
      <c r="AC491" s="283">
        <v>44540</v>
      </c>
      <c r="AD491" s="283">
        <v>44540</v>
      </c>
      <c r="AE491" s="215" t="s">
        <v>3008</v>
      </c>
      <c r="AF491" s="283"/>
      <c r="AG491" s="283"/>
      <c r="AH491" s="334"/>
      <c r="AI491" s="283">
        <f>IFERROR(IF(VLOOKUP(功能_33[[#This Row],[功能代號]],E:S,11,FALSE)=0,"",VLOOKUP(功能_33[[#This Row],[功能代號]],E:S,11,FALSE)),"")</f>
        <v>44545</v>
      </c>
      <c r="AJ491" s="283"/>
      <c r="AK491" s="283"/>
      <c r="AL491" s="276"/>
      <c r="AN491" s="275" t="s">
        <v>2700</v>
      </c>
      <c r="AO491" s="276" t="s">
        <v>2811</v>
      </c>
      <c r="AQ491" s="507" t="str">
        <f t="shared" si="66"/>
        <v>8-3</v>
      </c>
      <c r="AR491" s="509" t="str">
        <f t="shared" si="67"/>
        <v/>
      </c>
      <c r="AS491" s="511" t="str">
        <f t="shared" si="68"/>
        <v/>
      </c>
      <c r="AT491" s="513" t="str">
        <f t="shared" si="69"/>
        <v/>
      </c>
      <c r="AU491" s="515" t="str">
        <f t="shared" si="70"/>
        <v/>
      </c>
      <c r="AV491" s="517" t="str">
        <f t="shared" si="71"/>
        <v/>
      </c>
      <c r="AW491" s="589" t="str">
        <f>IFERROR(VLOOKUP(功能_33[[#This Row],[功能代號]],SIT_FT!D:D,1,FALSE),"")</f>
        <v/>
      </c>
    </row>
    <row r="492" spans="3:49" ht="13.5" hidden="1" x14ac:dyDescent="0.3">
      <c r="C492" s="276" t="s">
        <v>84</v>
      </c>
      <c r="D492" s="276" t="s">
        <v>2494</v>
      </c>
      <c r="E492" s="275" t="s">
        <v>1266</v>
      </c>
      <c r="F492" s="276" t="s">
        <v>1267</v>
      </c>
      <c r="G492" s="276" t="s">
        <v>1119</v>
      </c>
      <c r="H492" s="275" t="s">
        <v>122</v>
      </c>
      <c r="I492" s="275" t="s">
        <v>123</v>
      </c>
      <c r="J492" s="282" t="s">
        <v>2979</v>
      </c>
      <c r="K492" s="283">
        <v>44589</v>
      </c>
      <c r="L492" s="283"/>
      <c r="M492" s="283">
        <v>44519</v>
      </c>
      <c r="N492" s="283">
        <v>44517</v>
      </c>
      <c r="O492" s="283">
        <v>44545</v>
      </c>
      <c r="P492" s="275" t="s">
        <v>7</v>
      </c>
      <c r="Q492" s="275" t="s">
        <v>25</v>
      </c>
      <c r="V492" s="275"/>
      <c r="X492" s="275"/>
      <c r="Y492" s="275"/>
      <c r="Z492" s="276" t="str">
        <f>VLOOKUP(功能_33[[#This Row],[User]],SKL放款!A:G,7,FALSE)</f>
        <v>放款管理課</v>
      </c>
      <c r="AA492" s="283">
        <v>44545</v>
      </c>
      <c r="AB492" s="283" t="s">
        <v>2408</v>
      </c>
      <c r="AC492" s="283">
        <v>44540</v>
      </c>
      <c r="AD492" s="283">
        <v>44540</v>
      </c>
      <c r="AE492" s="215" t="s">
        <v>3008</v>
      </c>
      <c r="AF492" s="283"/>
      <c r="AG492" s="283"/>
      <c r="AH492" s="334"/>
      <c r="AI492" s="283">
        <f>IFERROR(IF(VLOOKUP(功能_33[[#This Row],[功能代號]],E:S,11,FALSE)=0,"",VLOOKUP(功能_33[[#This Row],[功能代號]],E:S,11,FALSE)),"")</f>
        <v>44545</v>
      </c>
      <c r="AJ492" s="283"/>
      <c r="AK492" s="283"/>
      <c r="AL492" s="276"/>
      <c r="AN492" s="275" t="s">
        <v>2700</v>
      </c>
      <c r="AO492" s="276" t="s">
        <v>2811</v>
      </c>
      <c r="AQ492" s="507" t="str">
        <f t="shared" si="66"/>
        <v>8-3</v>
      </c>
      <c r="AR492" s="509" t="str">
        <f t="shared" si="67"/>
        <v/>
      </c>
      <c r="AS492" s="511" t="str">
        <f t="shared" si="68"/>
        <v/>
      </c>
      <c r="AT492" s="513" t="str">
        <f t="shared" si="69"/>
        <v/>
      </c>
      <c r="AU492" s="515" t="str">
        <f t="shared" si="70"/>
        <v/>
      </c>
      <c r="AV492" s="517" t="str">
        <f t="shared" si="71"/>
        <v/>
      </c>
      <c r="AW492" s="589" t="str">
        <f>IFERROR(VLOOKUP(功能_33[[#This Row],[功能代號]],SIT_FT!D:D,1,FALSE),"")</f>
        <v/>
      </c>
    </row>
    <row r="493" spans="3:49" ht="13.5" hidden="1" x14ac:dyDescent="0.3">
      <c r="C493" s="276" t="s">
        <v>84</v>
      </c>
      <c r="D493" s="276" t="s">
        <v>2494</v>
      </c>
      <c r="E493" s="275" t="s">
        <v>1268</v>
      </c>
      <c r="F493" s="276" t="s">
        <v>1269</v>
      </c>
      <c r="G493" s="276" t="s">
        <v>1119</v>
      </c>
      <c r="H493" s="275" t="s">
        <v>122</v>
      </c>
      <c r="I493" s="275" t="s">
        <v>123</v>
      </c>
      <c r="J493" s="282" t="s">
        <v>2979</v>
      </c>
      <c r="K493" s="283">
        <v>44575</v>
      </c>
      <c r="L493" s="283"/>
      <c r="M493" s="283">
        <v>44515</v>
      </c>
      <c r="N493" s="283">
        <v>44517</v>
      </c>
      <c r="O493" s="283">
        <v>44536</v>
      </c>
      <c r="P493" s="275" t="s">
        <v>7</v>
      </c>
      <c r="Q493" s="275" t="s">
        <v>25</v>
      </c>
      <c r="V493" s="275"/>
      <c r="X493" s="275"/>
      <c r="Y493" s="275"/>
      <c r="Z493" s="276" t="str">
        <f>VLOOKUP(功能_33[[#This Row],[User]],SKL放款!A:G,7,FALSE)</f>
        <v>放款管理課</v>
      </c>
      <c r="AA493" s="283">
        <v>44533</v>
      </c>
      <c r="AB493" s="283" t="s">
        <v>181</v>
      </c>
      <c r="AC493" s="283">
        <v>44540</v>
      </c>
      <c r="AD493" s="283">
        <v>44540</v>
      </c>
      <c r="AE493" s="215" t="s">
        <v>3008</v>
      </c>
      <c r="AF493" s="283"/>
      <c r="AG493" s="283"/>
      <c r="AH493" s="334"/>
      <c r="AI493" s="283">
        <f>IFERROR(IF(VLOOKUP(功能_33[[#This Row],[功能代號]],E:S,11,FALSE)=0,"",VLOOKUP(功能_33[[#This Row],[功能代號]],E:S,11,FALSE)),"")</f>
        <v>44536</v>
      </c>
      <c r="AJ493" s="283"/>
      <c r="AK493" s="283"/>
      <c r="AL493" s="276"/>
      <c r="AN493" s="275" t="s">
        <v>2700</v>
      </c>
      <c r="AO493" s="276" t="s">
        <v>2812</v>
      </c>
      <c r="AQ493" s="507" t="str">
        <f t="shared" si="66"/>
        <v>8-3</v>
      </c>
      <c r="AR493" s="509" t="str">
        <f t="shared" si="67"/>
        <v/>
      </c>
      <c r="AS493" s="511" t="str">
        <f t="shared" si="68"/>
        <v/>
      </c>
      <c r="AT493" s="513" t="str">
        <f t="shared" si="69"/>
        <v/>
      </c>
      <c r="AU493" s="515" t="str">
        <f t="shared" si="70"/>
        <v/>
      </c>
      <c r="AV493" s="517" t="str">
        <f t="shared" si="71"/>
        <v/>
      </c>
      <c r="AW493" s="589" t="str">
        <f>IFERROR(VLOOKUP(功能_33[[#This Row],[功能代號]],SIT_FT!D:D,1,FALSE),"")</f>
        <v/>
      </c>
    </row>
    <row r="494" spans="3:49" ht="13.5" hidden="1" x14ac:dyDescent="0.3">
      <c r="C494" s="276" t="s">
        <v>84</v>
      </c>
      <c r="D494" s="276" t="s">
        <v>2494</v>
      </c>
      <c r="E494" s="275" t="s">
        <v>1270</v>
      </c>
      <c r="F494" s="276" t="s">
        <v>1271</v>
      </c>
      <c r="G494" s="276" t="s">
        <v>1119</v>
      </c>
      <c r="H494" s="275" t="s">
        <v>122</v>
      </c>
      <c r="I494" s="275" t="s">
        <v>123</v>
      </c>
      <c r="J494" s="282" t="s">
        <v>2979</v>
      </c>
      <c r="K494" s="283">
        <v>44575</v>
      </c>
      <c r="L494" s="283"/>
      <c r="M494" s="283">
        <v>44515</v>
      </c>
      <c r="N494" s="283">
        <v>44517</v>
      </c>
      <c r="O494" s="283">
        <v>44536</v>
      </c>
      <c r="P494" s="275" t="s">
        <v>7</v>
      </c>
      <c r="Q494" s="275" t="s">
        <v>25</v>
      </c>
      <c r="V494" s="275"/>
      <c r="X494" s="275"/>
      <c r="Y494" s="275"/>
      <c r="Z494" s="276" t="str">
        <f>VLOOKUP(功能_33[[#This Row],[User]],SKL放款!A:G,7,FALSE)</f>
        <v>放款管理課</v>
      </c>
      <c r="AA494" s="283">
        <v>44533</v>
      </c>
      <c r="AB494" s="283" t="s">
        <v>181</v>
      </c>
      <c r="AC494" s="283">
        <v>44540</v>
      </c>
      <c r="AD494" s="283">
        <v>44540</v>
      </c>
      <c r="AE494" s="215" t="s">
        <v>3008</v>
      </c>
      <c r="AF494" s="283"/>
      <c r="AG494" s="283"/>
      <c r="AH494" s="334"/>
      <c r="AI494" s="283">
        <f>IFERROR(IF(VLOOKUP(功能_33[[#This Row],[功能代號]],E:S,11,FALSE)=0,"",VLOOKUP(功能_33[[#This Row],[功能代號]],E:S,11,FALSE)),"")</f>
        <v>44536</v>
      </c>
      <c r="AJ494" s="283"/>
      <c r="AK494" s="283"/>
      <c r="AL494" s="276"/>
      <c r="AN494" s="275" t="s">
        <v>2700</v>
      </c>
      <c r="AO494" s="276" t="s">
        <v>2812</v>
      </c>
      <c r="AQ494" s="507" t="str">
        <f t="shared" si="66"/>
        <v>8-3</v>
      </c>
      <c r="AR494" s="509" t="str">
        <f t="shared" si="67"/>
        <v/>
      </c>
      <c r="AS494" s="511" t="str">
        <f t="shared" si="68"/>
        <v/>
      </c>
      <c r="AT494" s="513" t="str">
        <f t="shared" si="69"/>
        <v/>
      </c>
      <c r="AU494" s="515" t="str">
        <f t="shared" si="70"/>
        <v/>
      </c>
      <c r="AV494" s="517" t="str">
        <f t="shared" si="71"/>
        <v/>
      </c>
      <c r="AW494" s="589" t="str">
        <f>IFERROR(VLOOKUP(功能_33[[#This Row],[功能代號]],SIT_FT!D:D,1,FALSE),"")</f>
        <v/>
      </c>
    </row>
    <row r="495" spans="3:49" ht="13.5" hidden="1" x14ac:dyDescent="0.3">
      <c r="C495" s="276" t="s">
        <v>84</v>
      </c>
      <c r="D495" s="276" t="s">
        <v>2494</v>
      </c>
      <c r="E495" s="275" t="s">
        <v>1272</v>
      </c>
      <c r="F495" s="276" t="s">
        <v>1273</v>
      </c>
      <c r="G495" s="276" t="s">
        <v>1119</v>
      </c>
      <c r="H495" s="275" t="s">
        <v>122</v>
      </c>
      <c r="I495" s="275" t="s">
        <v>123</v>
      </c>
      <c r="J495" s="282" t="s">
        <v>2979</v>
      </c>
      <c r="K495" s="283">
        <v>44575</v>
      </c>
      <c r="L495" s="283"/>
      <c r="M495" s="283">
        <v>44515</v>
      </c>
      <c r="N495" s="283">
        <v>44517</v>
      </c>
      <c r="O495" s="283">
        <v>44536</v>
      </c>
      <c r="P495" s="275" t="s">
        <v>7</v>
      </c>
      <c r="Q495" s="275" t="s">
        <v>25</v>
      </c>
      <c r="V495" s="275"/>
      <c r="X495" s="275"/>
      <c r="Y495" s="275"/>
      <c r="Z495" s="276" t="str">
        <f>VLOOKUP(功能_33[[#This Row],[User]],SKL放款!A:G,7,FALSE)</f>
        <v>放款管理課</v>
      </c>
      <c r="AA495" s="283">
        <v>44533</v>
      </c>
      <c r="AB495" s="283" t="s">
        <v>181</v>
      </c>
      <c r="AC495" s="283">
        <v>44540</v>
      </c>
      <c r="AD495" s="283">
        <v>44540</v>
      </c>
      <c r="AE495" s="215" t="s">
        <v>3008</v>
      </c>
      <c r="AF495" s="283"/>
      <c r="AG495" s="283"/>
      <c r="AH495" s="334"/>
      <c r="AI495" s="283">
        <f>IFERROR(IF(VLOOKUP(功能_33[[#This Row],[功能代號]],E:S,11,FALSE)=0,"",VLOOKUP(功能_33[[#This Row],[功能代號]],E:S,11,FALSE)),"")</f>
        <v>44536</v>
      </c>
      <c r="AJ495" s="283"/>
      <c r="AK495" s="283"/>
      <c r="AL495" s="276"/>
      <c r="AN495" s="275" t="s">
        <v>2700</v>
      </c>
      <c r="AO495" s="276" t="s">
        <v>2812</v>
      </c>
      <c r="AQ495" s="507" t="str">
        <f t="shared" si="66"/>
        <v>8-3</v>
      </c>
      <c r="AR495" s="509" t="str">
        <f t="shared" si="67"/>
        <v/>
      </c>
      <c r="AS495" s="511" t="str">
        <f t="shared" si="68"/>
        <v/>
      </c>
      <c r="AT495" s="513" t="str">
        <f t="shared" si="69"/>
        <v/>
      </c>
      <c r="AU495" s="515" t="str">
        <f t="shared" si="70"/>
        <v/>
      </c>
      <c r="AV495" s="517" t="str">
        <f t="shared" si="71"/>
        <v/>
      </c>
      <c r="AW495" s="589" t="str">
        <f>IFERROR(VLOOKUP(功能_33[[#This Row],[功能代號]],SIT_FT!D:D,1,FALSE),"")</f>
        <v/>
      </c>
    </row>
    <row r="496" spans="3:49" ht="13.5" hidden="1" x14ac:dyDescent="0.3">
      <c r="C496" s="276" t="s">
        <v>84</v>
      </c>
      <c r="D496" s="276" t="s">
        <v>2494</v>
      </c>
      <c r="E496" s="275" t="s">
        <v>1274</v>
      </c>
      <c r="F496" s="276" t="s">
        <v>1275</v>
      </c>
      <c r="G496" s="276" t="s">
        <v>1119</v>
      </c>
      <c r="H496" s="275" t="s">
        <v>122</v>
      </c>
      <c r="I496" s="275" t="s">
        <v>123</v>
      </c>
      <c r="J496" s="282" t="s">
        <v>2979</v>
      </c>
      <c r="K496" s="283">
        <v>44575</v>
      </c>
      <c r="L496" s="283"/>
      <c r="M496" s="283">
        <v>44515</v>
      </c>
      <c r="N496" s="283">
        <v>44517</v>
      </c>
      <c r="O496" s="283">
        <v>44536</v>
      </c>
      <c r="P496" s="275" t="s">
        <v>7</v>
      </c>
      <c r="Q496" s="275" t="s">
        <v>25</v>
      </c>
      <c r="V496" s="275"/>
      <c r="X496" s="275"/>
      <c r="Y496" s="275"/>
      <c r="Z496" s="276" t="str">
        <f>VLOOKUP(功能_33[[#This Row],[User]],SKL放款!A:G,7,FALSE)</f>
        <v>放款管理課</v>
      </c>
      <c r="AA496" s="283">
        <v>44533</v>
      </c>
      <c r="AB496" s="283" t="s">
        <v>181</v>
      </c>
      <c r="AC496" s="283">
        <v>44540</v>
      </c>
      <c r="AD496" s="283">
        <v>44540</v>
      </c>
      <c r="AE496" s="215" t="s">
        <v>3008</v>
      </c>
      <c r="AF496" s="283"/>
      <c r="AG496" s="283"/>
      <c r="AH496" s="334"/>
      <c r="AI496" s="283">
        <f>IFERROR(IF(VLOOKUP(功能_33[[#This Row],[功能代號]],E:S,11,FALSE)=0,"",VLOOKUP(功能_33[[#This Row],[功能代號]],E:S,11,FALSE)),"")</f>
        <v>44536</v>
      </c>
      <c r="AJ496" s="283"/>
      <c r="AK496" s="283"/>
      <c r="AL496" s="276"/>
      <c r="AN496" s="275" t="s">
        <v>2700</v>
      </c>
      <c r="AO496" s="276" t="s">
        <v>2812</v>
      </c>
      <c r="AQ496" s="507" t="str">
        <f t="shared" si="66"/>
        <v>8-3</v>
      </c>
      <c r="AR496" s="509" t="str">
        <f t="shared" si="67"/>
        <v/>
      </c>
      <c r="AS496" s="511" t="str">
        <f t="shared" si="68"/>
        <v/>
      </c>
      <c r="AT496" s="513" t="str">
        <f t="shared" si="69"/>
        <v/>
      </c>
      <c r="AU496" s="515" t="str">
        <f t="shared" si="70"/>
        <v/>
      </c>
      <c r="AV496" s="517" t="str">
        <f t="shared" si="71"/>
        <v/>
      </c>
      <c r="AW496" s="589" t="str">
        <f>IFERROR(VLOOKUP(功能_33[[#This Row],[功能代號]],SIT_FT!D:D,1,FALSE),"")</f>
        <v/>
      </c>
    </row>
    <row r="497" spans="3:49" ht="13.5" hidden="1" x14ac:dyDescent="0.3">
      <c r="C497" s="276" t="s">
        <v>84</v>
      </c>
      <c r="D497" s="276" t="s">
        <v>2494</v>
      </c>
      <c r="E497" s="275" t="s">
        <v>1276</v>
      </c>
      <c r="F497" s="276" t="s">
        <v>1277</v>
      </c>
      <c r="G497" s="276" t="s">
        <v>1119</v>
      </c>
      <c r="H497" s="275" t="s">
        <v>122</v>
      </c>
      <c r="I497" s="275" t="s">
        <v>123</v>
      </c>
      <c r="J497" s="282" t="s">
        <v>2979</v>
      </c>
      <c r="K497" s="283">
        <v>44575</v>
      </c>
      <c r="L497" s="283"/>
      <c r="M497" s="283">
        <v>44515</v>
      </c>
      <c r="N497" s="283">
        <v>44517</v>
      </c>
      <c r="O497" s="283">
        <v>44536</v>
      </c>
      <c r="P497" s="275" t="s">
        <v>7</v>
      </c>
      <c r="Q497" s="275" t="s">
        <v>25</v>
      </c>
      <c r="V497" s="275"/>
      <c r="X497" s="275"/>
      <c r="Y497" s="275"/>
      <c r="Z497" s="276" t="str">
        <f>VLOOKUP(功能_33[[#This Row],[User]],SKL放款!A:G,7,FALSE)</f>
        <v>放款管理課</v>
      </c>
      <c r="AA497" s="283">
        <v>44533</v>
      </c>
      <c r="AB497" s="283" t="s">
        <v>181</v>
      </c>
      <c r="AC497" s="283">
        <v>44540</v>
      </c>
      <c r="AD497" s="283">
        <v>44540</v>
      </c>
      <c r="AE497" s="215" t="s">
        <v>3008</v>
      </c>
      <c r="AF497" s="283"/>
      <c r="AG497" s="283"/>
      <c r="AH497" s="334"/>
      <c r="AI497" s="283">
        <f>IFERROR(IF(VLOOKUP(功能_33[[#This Row],[功能代號]],E:S,11,FALSE)=0,"",VLOOKUP(功能_33[[#This Row],[功能代號]],E:S,11,FALSE)),"")</f>
        <v>44536</v>
      </c>
      <c r="AJ497" s="283"/>
      <c r="AK497" s="283"/>
      <c r="AL497" s="276"/>
      <c r="AN497" s="275" t="s">
        <v>2700</v>
      </c>
      <c r="AO497" s="276" t="s">
        <v>2812</v>
      </c>
      <c r="AQ497" s="507" t="str">
        <f t="shared" si="66"/>
        <v>8-3</v>
      </c>
      <c r="AR497" s="509" t="str">
        <f t="shared" si="67"/>
        <v/>
      </c>
      <c r="AS497" s="511" t="str">
        <f t="shared" si="68"/>
        <v/>
      </c>
      <c r="AT497" s="513" t="str">
        <f t="shared" si="69"/>
        <v/>
      </c>
      <c r="AU497" s="515" t="str">
        <f t="shared" si="70"/>
        <v/>
      </c>
      <c r="AV497" s="517" t="str">
        <f t="shared" si="71"/>
        <v/>
      </c>
      <c r="AW497" s="589" t="str">
        <f>IFERROR(VLOOKUP(功能_33[[#This Row],[功能代號]],SIT_FT!D:D,1,FALSE),"")</f>
        <v/>
      </c>
    </row>
    <row r="498" spans="3:49" ht="13.5" hidden="1" x14ac:dyDescent="0.3">
      <c r="C498" s="276" t="s">
        <v>84</v>
      </c>
      <c r="D498" s="276" t="s">
        <v>2494</v>
      </c>
      <c r="E498" s="275" t="s">
        <v>1278</v>
      </c>
      <c r="F498" s="276" t="s">
        <v>1279</v>
      </c>
      <c r="G498" s="276" t="s">
        <v>1119</v>
      </c>
      <c r="H498" s="275" t="s">
        <v>122</v>
      </c>
      <c r="I498" s="275" t="s">
        <v>123</v>
      </c>
      <c r="J498" s="282" t="s">
        <v>2979</v>
      </c>
      <c r="K498" s="283">
        <v>44575</v>
      </c>
      <c r="L498" s="283"/>
      <c r="M498" s="283">
        <v>44515</v>
      </c>
      <c r="N498" s="283">
        <v>44517</v>
      </c>
      <c r="O498" s="283">
        <v>44536</v>
      </c>
      <c r="P498" s="275" t="s">
        <v>7</v>
      </c>
      <c r="Q498" s="275" t="s">
        <v>25</v>
      </c>
      <c r="V498" s="275"/>
      <c r="X498" s="275"/>
      <c r="Y498" s="275"/>
      <c r="Z498" s="276" t="str">
        <f>VLOOKUP(功能_33[[#This Row],[User]],SKL放款!A:G,7,FALSE)</f>
        <v>放款管理課</v>
      </c>
      <c r="AA498" s="283">
        <v>44533</v>
      </c>
      <c r="AB498" s="283" t="s">
        <v>181</v>
      </c>
      <c r="AC498" s="283">
        <v>44540</v>
      </c>
      <c r="AD498" s="283">
        <v>44540</v>
      </c>
      <c r="AE498" s="215" t="s">
        <v>3008</v>
      </c>
      <c r="AF498" s="283"/>
      <c r="AG498" s="283"/>
      <c r="AH498" s="334"/>
      <c r="AI498" s="283">
        <f>IFERROR(IF(VLOOKUP(功能_33[[#This Row],[功能代號]],E:S,11,FALSE)=0,"",VLOOKUP(功能_33[[#This Row],[功能代號]],E:S,11,FALSE)),"")</f>
        <v>44536</v>
      </c>
      <c r="AJ498" s="283"/>
      <c r="AK498" s="283"/>
      <c r="AL498" s="276"/>
      <c r="AN498" s="275" t="s">
        <v>2700</v>
      </c>
      <c r="AO498" s="276" t="s">
        <v>2812</v>
      </c>
      <c r="AQ498" s="507" t="str">
        <f t="shared" si="66"/>
        <v>8-3</v>
      </c>
      <c r="AR498" s="509" t="str">
        <f t="shared" si="67"/>
        <v/>
      </c>
      <c r="AS498" s="511" t="str">
        <f t="shared" si="68"/>
        <v/>
      </c>
      <c r="AT498" s="513" t="str">
        <f t="shared" si="69"/>
        <v/>
      </c>
      <c r="AU498" s="515" t="str">
        <f t="shared" si="70"/>
        <v/>
      </c>
      <c r="AV498" s="517" t="str">
        <f t="shared" si="71"/>
        <v/>
      </c>
      <c r="AW498" s="589" t="str">
        <f>IFERROR(VLOOKUP(功能_33[[#This Row],[功能代號]],SIT_FT!D:D,1,FALSE),"")</f>
        <v/>
      </c>
    </row>
    <row r="499" spans="3:49" ht="13.5" hidden="1" x14ac:dyDescent="0.3">
      <c r="C499" s="276" t="s">
        <v>84</v>
      </c>
      <c r="D499" s="276" t="s">
        <v>2494</v>
      </c>
      <c r="E499" s="275" t="s">
        <v>1280</v>
      </c>
      <c r="F499" s="276" t="s">
        <v>1281</v>
      </c>
      <c r="G499" s="276" t="s">
        <v>1119</v>
      </c>
      <c r="H499" s="275" t="s">
        <v>122</v>
      </c>
      <c r="I499" s="275" t="s">
        <v>123</v>
      </c>
      <c r="J499" s="282" t="s">
        <v>2979</v>
      </c>
      <c r="K499" s="283">
        <v>44575</v>
      </c>
      <c r="L499" s="283"/>
      <c r="M499" s="283">
        <v>44515</v>
      </c>
      <c r="N499" s="283">
        <v>44517</v>
      </c>
      <c r="O499" s="283">
        <v>44536</v>
      </c>
      <c r="P499" s="275" t="s">
        <v>7</v>
      </c>
      <c r="Q499" s="275" t="s">
        <v>25</v>
      </c>
      <c r="V499" s="275"/>
      <c r="X499" s="275"/>
      <c r="Y499" s="275"/>
      <c r="Z499" s="276" t="str">
        <f>VLOOKUP(功能_33[[#This Row],[User]],SKL放款!A:G,7,FALSE)</f>
        <v>放款管理課</v>
      </c>
      <c r="AA499" s="283">
        <v>44533</v>
      </c>
      <c r="AB499" s="283" t="s">
        <v>181</v>
      </c>
      <c r="AC499" s="283">
        <v>44540</v>
      </c>
      <c r="AD499" s="283">
        <v>44540</v>
      </c>
      <c r="AE499" s="215" t="s">
        <v>3008</v>
      </c>
      <c r="AF499" s="283"/>
      <c r="AG499" s="283"/>
      <c r="AH499" s="334"/>
      <c r="AI499" s="283">
        <f>IFERROR(IF(VLOOKUP(功能_33[[#This Row],[功能代號]],E:S,11,FALSE)=0,"",VLOOKUP(功能_33[[#This Row],[功能代號]],E:S,11,FALSE)),"")</f>
        <v>44536</v>
      </c>
      <c r="AJ499" s="283"/>
      <c r="AK499" s="283"/>
      <c r="AL499" s="276"/>
      <c r="AN499" s="275" t="s">
        <v>2700</v>
      </c>
      <c r="AO499" s="276" t="s">
        <v>2812</v>
      </c>
      <c r="AQ499" s="507" t="str">
        <f t="shared" si="66"/>
        <v>8-3</v>
      </c>
      <c r="AR499" s="509" t="str">
        <f t="shared" si="67"/>
        <v/>
      </c>
      <c r="AS499" s="511" t="str">
        <f t="shared" si="68"/>
        <v/>
      </c>
      <c r="AT499" s="513" t="str">
        <f t="shared" si="69"/>
        <v/>
      </c>
      <c r="AU499" s="515" t="str">
        <f t="shared" si="70"/>
        <v/>
      </c>
      <c r="AV499" s="517" t="str">
        <f t="shared" si="71"/>
        <v/>
      </c>
      <c r="AW499" s="589" t="str">
        <f>IFERROR(VLOOKUP(功能_33[[#This Row],[功能代號]],SIT_FT!D:D,1,FALSE),"")</f>
        <v/>
      </c>
    </row>
    <row r="500" spans="3:49" ht="13.5" hidden="1" x14ac:dyDescent="0.3">
      <c r="C500" s="276" t="s">
        <v>84</v>
      </c>
      <c r="D500" s="276" t="s">
        <v>2494</v>
      </c>
      <c r="E500" s="275" t="s">
        <v>1282</v>
      </c>
      <c r="F500" s="276" t="s">
        <v>1283</v>
      </c>
      <c r="G500" s="276" t="s">
        <v>1119</v>
      </c>
      <c r="H500" s="275" t="s">
        <v>122</v>
      </c>
      <c r="I500" s="275" t="s">
        <v>123</v>
      </c>
      <c r="J500" s="282" t="s">
        <v>2979</v>
      </c>
      <c r="K500" s="283">
        <v>44575</v>
      </c>
      <c r="L500" s="283"/>
      <c r="M500" s="283">
        <v>44515</v>
      </c>
      <c r="N500" s="283">
        <v>44517</v>
      </c>
      <c r="O500" s="283">
        <v>44536</v>
      </c>
      <c r="P500" s="275" t="s">
        <v>7</v>
      </c>
      <c r="Q500" s="275" t="s">
        <v>25</v>
      </c>
      <c r="V500" s="275"/>
      <c r="X500" s="275"/>
      <c r="Y500" s="275"/>
      <c r="Z500" s="276" t="str">
        <f>VLOOKUP(功能_33[[#This Row],[User]],SKL放款!A:G,7,FALSE)</f>
        <v>放款管理課</v>
      </c>
      <c r="AA500" s="283">
        <v>44533</v>
      </c>
      <c r="AB500" s="283" t="s">
        <v>181</v>
      </c>
      <c r="AC500" s="283">
        <v>44540</v>
      </c>
      <c r="AD500" s="283">
        <v>44540</v>
      </c>
      <c r="AE500" s="215" t="s">
        <v>3008</v>
      </c>
      <c r="AF500" s="283"/>
      <c r="AG500" s="283"/>
      <c r="AH500" s="334"/>
      <c r="AI500" s="283">
        <f>IFERROR(IF(VLOOKUP(功能_33[[#This Row],[功能代號]],E:S,11,FALSE)=0,"",VLOOKUP(功能_33[[#This Row],[功能代號]],E:S,11,FALSE)),"")</f>
        <v>44536</v>
      </c>
      <c r="AJ500" s="283"/>
      <c r="AK500" s="283"/>
      <c r="AL500" s="276"/>
      <c r="AN500" s="275" t="s">
        <v>2700</v>
      </c>
      <c r="AO500" s="276" t="s">
        <v>2812</v>
      </c>
      <c r="AQ500" s="507" t="str">
        <f t="shared" si="66"/>
        <v>8-3</v>
      </c>
      <c r="AR500" s="509" t="str">
        <f t="shared" si="67"/>
        <v/>
      </c>
      <c r="AS500" s="511" t="str">
        <f t="shared" si="68"/>
        <v/>
      </c>
      <c r="AT500" s="513" t="str">
        <f t="shared" si="69"/>
        <v/>
      </c>
      <c r="AU500" s="515" t="str">
        <f t="shared" si="70"/>
        <v/>
      </c>
      <c r="AV500" s="517" t="str">
        <f t="shared" si="71"/>
        <v/>
      </c>
      <c r="AW500" s="589" t="str">
        <f>IFERROR(VLOOKUP(功能_33[[#This Row],[功能代號]],SIT_FT!D:D,1,FALSE),"")</f>
        <v/>
      </c>
    </row>
    <row r="501" spans="3:49" ht="13.5" hidden="1" x14ac:dyDescent="0.3">
      <c r="C501" s="276" t="s">
        <v>84</v>
      </c>
      <c r="D501" s="276" t="s">
        <v>2494</v>
      </c>
      <c r="E501" s="275" t="s">
        <v>1284</v>
      </c>
      <c r="F501" s="276" t="s">
        <v>1285</v>
      </c>
      <c r="G501" s="276" t="s">
        <v>1119</v>
      </c>
      <c r="H501" s="275" t="s">
        <v>122</v>
      </c>
      <c r="I501" s="275" t="s">
        <v>123</v>
      </c>
      <c r="J501" s="282" t="s">
        <v>2979</v>
      </c>
      <c r="K501" s="283">
        <v>44575</v>
      </c>
      <c r="L501" s="283"/>
      <c r="M501" s="283">
        <v>44515</v>
      </c>
      <c r="N501" s="283">
        <v>44517</v>
      </c>
      <c r="O501" s="283">
        <v>44536</v>
      </c>
      <c r="P501" s="275" t="s">
        <v>7</v>
      </c>
      <c r="Q501" s="275" t="s">
        <v>25</v>
      </c>
      <c r="V501" s="275"/>
      <c r="X501" s="275"/>
      <c r="Y501" s="275"/>
      <c r="Z501" s="276" t="str">
        <f>VLOOKUP(功能_33[[#This Row],[User]],SKL放款!A:G,7,FALSE)</f>
        <v>放款管理課</v>
      </c>
      <c r="AA501" s="283">
        <v>44533</v>
      </c>
      <c r="AB501" s="283" t="s">
        <v>181</v>
      </c>
      <c r="AC501" s="283">
        <v>44540</v>
      </c>
      <c r="AD501" s="283">
        <v>44540</v>
      </c>
      <c r="AE501" s="215" t="s">
        <v>3008</v>
      </c>
      <c r="AF501" s="283"/>
      <c r="AG501" s="283"/>
      <c r="AH501" s="334"/>
      <c r="AI501" s="283">
        <f>IFERROR(IF(VLOOKUP(功能_33[[#This Row],[功能代號]],E:S,11,FALSE)=0,"",VLOOKUP(功能_33[[#This Row],[功能代號]],E:S,11,FALSE)),"")</f>
        <v>44536</v>
      </c>
      <c r="AJ501" s="283"/>
      <c r="AK501" s="283"/>
      <c r="AL501" s="276"/>
      <c r="AN501" s="275" t="s">
        <v>2700</v>
      </c>
      <c r="AO501" s="276" t="s">
        <v>2812</v>
      </c>
      <c r="AQ501" s="507" t="str">
        <f t="shared" si="66"/>
        <v>8-3</v>
      </c>
      <c r="AR501" s="509" t="str">
        <f t="shared" si="67"/>
        <v/>
      </c>
      <c r="AS501" s="511" t="str">
        <f t="shared" si="68"/>
        <v/>
      </c>
      <c r="AT501" s="513" t="str">
        <f t="shared" si="69"/>
        <v/>
      </c>
      <c r="AU501" s="515" t="str">
        <f t="shared" si="70"/>
        <v/>
      </c>
      <c r="AV501" s="517" t="str">
        <f t="shared" si="71"/>
        <v/>
      </c>
      <c r="AW501" s="589" t="str">
        <f>IFERROR(VLOOKUP(功能_33[[#This Row],[功能代號]],SIT_FT!D:D,1,FALSE),"")</f>
        <v/>
      </c>
    </row>
    <row r="502" spans="3:49" ht="13.5" hidden="1" x14ac:dyDescent="0.3">
      <c r="C502" s="276" t="s">
        <v>84</v>
      </c>
      <c r="D502" s="276" t="s">
        <v>2494</v>
      </c>
      <c r="E502" s="275" t="s">
        <v>1286</v>
      </c>
      <c r="F502" s="276" t="s">
        <v>1287</v>
      </c>
      <c r="G502" s="276" t="s">
        <v>1119</v>
      </c>
      <c r="H502" s="275" t="s">
        <v>122</v>
      </c>
      <c r="I502" s="275" t="s">
        <v>123</v>
      </c>
      <c r="J502" s="282" t="s">
        <v>2979</v>
      </c>
      <c r="K502" s="283">
        <v>44575</v>
      </c>
      <c r="L502" s="283"/>
      <c r="M502" s="283">
        <v>44515</v>
      </c>
      <c r="N502" s="283">
        <v>44517</v>
      </c>
      <c r="O502" s="283">
        <v>44536</v>
      </c>
      <c r="P502" s="275" t="s">
        <v>7</v>
      </c>
      <c r="Q502" s="275" t="s">
        <v>25</v>
      </c>
      <c r="V502" s="275"/>
      <c r="X502" s="275"/>
      <c r="Y502" s="275"/>
      <c r="Z502" s="276" t="str">
        <f>VLOOKUP(功能_33[[#This Row],[User]],SKL放款!A:G,7,FALSE)</f>
        <v>放款管理課</v>
      </c>
      <c r="AA502" s="283">
        <v>44533</v>
      </c>
      <c r="AB502" s="283" t="s">
        <v>181</v>
      </c>
      <c r="AC502" s="283">
        <v>44540</v>
      </c>
      <c r="AD502" s="283">
        <v>44540</v>
      </c>
      <c r="AE502" s="215" t="s">
        <v>3008</v>
      </c>
      <c r="AF502" s="283"/>
      <c r="AG502" s="283"/>
      <c r="AH502" s="334"/>
      <c r="AI502" s="283">
        <f>IFERROR(IF(VLOOKUP(功能_33[[#This Row],[功能代號]],E:S,11,FALSE)=0,"",VLOOKUP(功能_33[[#This Row],[功能代號]],E:S,11,FALSE)),"")</f>
        <v>44536</v>
      </c>
      <c r="AJ502" s="283"/>
      <c r="AK502" s="283"/>
      <c r="AL502" s="276"/>
      <c r="AN502" s="275" t="s">
        <v>2700</v>
      </c>
      <c r="AO502" s="276" t="s">
        <v>2812</v>
      </c>
      <c r="AQ502" s="507" t="str">
        <f t="shared" si="66"/>
        <v>8-3</v>
      </c>
      <c r="AR502" s="509" t="str">
        <f t="shared" si="67"/>
        <v/>
      </c>
      <c r="AS502" s="511" t="str">
        <f t="shared" si="68"/>
        <v/>
      </c>
      <c r="AT502" s="513" t="str">
        <f t="shared" si="69"/>
        <v/>
      </c>
      <c r="AU502" s="515" t="str">
        <f t="shared" si="70"/>
        <v/>
      </c>
      <c r="AV502" s="517" t="str">
        <f t="shared" si="71"/>
        <v/>
      </c>
      <c r="AW502" s="589" t="str">
        <f>IFERROR(VLOOKUP(功能_33[[#This Row],[功能代號]],SIT_FT!D:D,1,FALSE),"")</f>
        <v/>
      </c>
    </row>
    <row r="503" spans="3:49" ht="13.5" hidden="1" x14ac:dyDescent="0.3">
      <c r="C503" s="276" t="s">
        <v>84</v>
      </c>
      <c r="D503" s="276" t="s">
        <v>2494</v>
      </c>
      <c r="E503" s="275" t="s">
        <v>1288</v>
      </c>
      <c r="F503" s="276" t="s">
        <v>1289</v>
      </c>
      <c r="G503" s="276" t="s">
        <v>1119</v>
      </c>
      <c r="H503" s="275" t="s">
        <v>122</v>
      </c>
      <c r="I503" s="275" t="s">
        <v>123</v>
      </c>
      <c r="J503" s="282" t="s">
        <v>2979</v>
      </c>
      <c r="K503" s="283">
        <v>44575</v>
      </c>
      <c r="L503" s="283"/>
      <c r="M503" s="283">
        <v>44516</v>
      </c>
      <c r="N503" s="283">
        <v>44517</v>
      </c>
      <c r="O503" s="283">
        <v>44536</v>
      </c>
      <c r="P503" s="275" t="s">
        <v>7</v>
      </c>
      <c r="Q503" s="275" t="s">
        <v>25</v>
      </c>
      <c r="V503" s="275"/>
      <c r="X503" s="275"/>
      <c r="Y503" s="275"/>
      <c r="Z503" s="276" t="str">
        <f>VLOOKUP(功能_33[[#This Row],[User]],SKL放款!A:G,7,FALSE)</f>
        <v>放款管理課</v>
      </c>
      <c r="AA503" s="283">
        <v>44533</v>
      </c>
      <c r="AB503" s="283" t="s">
        <v>181</v>
      </c>
      <c r="AC503" s="283">
        <v>44540</v>
      </c>
      <c r="AD503" s="283">
        <v>44540</v>
      </c>
      <c r="AE503" s="215" t="s">
        <v>3008</v>
      </c>
      <c r="AF503" s="283"/>
      <c r="AG503" s="283"/>
      <c r="AH503" s="334"/>
      <c r="AI503" s="283">
        <f>IFERROR(IF(VLOOKUP(功能_33[[#This Row],[功能代號]],E:S,11,FALSE)=0,"",VLOOKUP(功能_33[[#This Row],[功能代號]],E:S,11,FALSE)),"")</f>
        <v>44536</v>
      </c>
      <c r="AJ503" s="283"/>
      <c r="AK503" s="283"/>
      <c r="AL503" s="276"/>
      <c r="AN503" s="275" t="s">
        <v>2700</v>
      </c>
      <c r="AO503" s="276" t="s">
        <v>2812</v>
      </c>
      <c r="AQ503" s="507" t="str">
        <f t="shared" si="66"/>
        <v>8-3</v>
      </c>
      <c r="AR503" s="509" t="str">
        <f t="shared" si="67"/>
        <v/>
      </c>
      <c r="AS503" s="511" t="str">
        <f t="shared" si="68"/>
        <v/>
      </c>
      <c r="AT503" s="513" t="str">
        <f t="shared" si="69"/>
        <v/>
      </c>
      <c r="AU503" s="515" t="str">
        <f t="shared" si="70"/>
        <v/>
      </c>
      <c r="AV503" s="517" t="str">
        <f t="shared" si="71"/>
        <v/>
      </c>
      <c r="AW503" s="589" t="str">
        <f>IFERROR(VLOOKUP(功能_33[[#This Row],[功能代號]],SIT_FT!D:D,1,FALSE),"")</f>
        <v/>
      </c>
    </row>
    <row r="504" spans="3:49" ht="13.5" hidden="1" x14ac:dyDescent="0.3">
      <c r="C504" s="276" t="s">
        <v>84</v>
      </c>
      <c r="D504" s="276" t="s">
        <v>2494</v>
      </c>
      <c r="E504" s="275" t="s">
        <v>1290</v>
      </c>
      <c r="F504" s="276" t="s">
        <v>1291</v>
      </c>
      <c r="G504" s="276" t="s">
        <v>1119</v>
      </c>
      <c r="H504" s="275" t="s">
        <v>122</v>
      </c>
      <c r="I504" s="275" t="s">
        <v>123</v>
      </c>
      <c r="J504" s="282" t="s">
        <v>2979</v>
      </c>
      <c r="K504" s="283">
        <v>44575</v>
      </c>
      <c r="L504" s="283"/>
      <c r="M504" s="283">
        <v>44516</v>
      </c>
      <c r="N504" s="283">
        <v>44517</v>
      </c>
      <c r="O504" s="283">
        <v>44536</v>
      </c>
      <c r="P504" s="275" t="s">
        <v>7</v>
      </c>
      <c r="Q504" s="275" t="s">
        <v>25</v>
      </c>
      <c r="V504" s="275"/>
      <c r="X504" s="275"/>
      <c r="Y504" s="275"/>
      <c r="Z504" s="276" t="str">
        <f>VLOOKUP(功能_33[[#This Row],[User]],SKL放款!A:G,7,FALSE)</f>
        <v>放款管理課</v>
      </c>
      <c r="AA504" s="283">
        <v>44533</v>
      </c>
      <c r="AB504" s="283" t="s">
        <v>181</v>
      </c>
      <c r="AC504" s="283">
        <v>44540</v>
      </c>
      <c r="AD504" s="283">
        <v>44540</v>
      </c>
      <c r="AE504" s="215" t="s">
        <v>3008</v>
      </c>
      <c r="AF504" s="283"/>
      <c r="AG504" s="283"/>
      <c r="AH504" s="334"/>
      <c r="AI504" s="283">
        <f>IFERROR(IF(VLOOKUP(功能_33[[#This Row],[功能代號]],E:S,11,FALSE)=0,"",VLOOKUP(功能_33[[#This Row],[功能代號]],E:S,11,FALSE)),"")</f>
        <v>44536</v>
      </c>
      <c r="AJ504" s="283"/>
      <c r="AK504" s="283"/>
      <c r="AL504" s="276"/>
      <c r="AN504" s="275" t="s">
        <v>2700</v>
      </c>
      <c r="AO504" s="276" t="s">
        <v>2812</v>
      </c>
      <c r="AQ504" s="507" t="str">
        <f t="shared" si="66"/>
        <v>8-3</v>
      </c>
      <c r="AR504" s="509" t="str">
        <f t="shared" si="67"/>
        <v/>
      </c>
      <c r="AS504" s="511" t="str">
        <f t="shared" si="68"/>
        <v/>
      </c>
      <c r="AT504" s="513" t="str">
        <f t="shared" si="69"/>
        <v/>
      </c>
      <c r="AU504" s="515" t="str">
        <f t="shared" si="70"/>
        <v/>
      </c>
      <c r="AV504" s="517" t="str">
        <f t="shared" si="71"/>
        <v/>
      </c>
      <c r="AW504" s="589" t="str">
        <f>IFERROR(VLOOKUP(功能_33[[#This Row],[功能代號]],SIT_FT!D:D,1,FALSE),"")</f>
        <v/>
      </c>
    </row>
    <row r="505" spans="3:49" ht="13.5" hidden="1" x14ac:dyDescent="0.3">
      <c r="C505" s="276" t="s">
        <v>84</v>
      </c>
      <c r="D505" s="276" t="s">
        <v>2494</v>
      </c>
      <c r="E505" s="275" t="s">
        <v>1292</v>
      </c>
      <c r="F505" s="276" t="s">
        <v>1293</v>
      </c>
      <c r="G505" s="276" t="s">
        <v>1119</v>
      </c>
      <c r="H505" s="275" t="s">
        <v>122</v>
      </c>
      <c r="I505" s="275" t="s">
        <v>123</v>
      </c>
      <c r="J505" s="282" t="s">
        <v>2979</v>
      </c>
      <c r="K505" s="283">
        <v>44575</v>
      </c>
      <c r="L505" s="283"/>
      <c r="M505" s="283">
        <v>44516</v>
      </c>
      <c r="N505" s="283">
        <v>44517</v>
      </c>
      <c r="O505" s="283">
        <v>44536</v>
      </c>
      <c r="P505" s="275" t="s">
        <v>7</v>
      </c>
      <c r="Q505" s="275" t="s">
        <v>25</v>
      </c>
      <c r="V505" s="275"/>
      <c r="X505" s="275"/>
      <c r="Y505" s="275"/>
      <c r="Z505" s="276" t="str">
        <f>VLOOKUP(功能_33[[#This Row],[User]],SKL放款!A:G,7,FALSE)</f>
        <v>放款管理課</v>
      </c>
      <c r="AA505" s="283">
        <v>44533</v>
      </c>
      <c r="AB505" s="283" t="s">
        <v>181</v>
      </c>
      <c r="AC505" s="283">
        <v>44540</v>
      </c>
      <c r="AD505" s="283">
        <v>44540</v>
      </c>
      <c r="AE505" s="215" t="s">
        <v>3008</v>
      </c>
      <c r="AF505" s="283"/>
      <c r="AG505" s="283"/>
      <c r="AH505" s="334"/>
      <c r="AI505" s="283">
        <f>IFERROR(IF(VLOOKUP(功能_33[[#This Row],[功能代號]],E:S,11,FALSE)=0,"",VLOOKUP(功能_33[[#This Row],[功能代號]],E:S,11,FALSE)),"")</f>
        <v>44536</v>
      </c>
      <c r="AJ505" s="283"/>
      <c r="AK505" s="283"/>
      <c r="AL505" s="276"/>
      <c r="AN505" s="275" t="s">
        <v>2700</v>
      </c>
      <c r="AO505" s="276" t="s">
        <v>2812</v>
      </c>
      <c r="AQ505" s="507" t="str">
        <f t="shared" si="66"/>
        <v>8-3</v>
      </c>
      <c r="AR505" s="509" t="str">
        <f t="shared" si="67"/>
        <v/>
      </c>
      <c r="AS505" s="511" t="str">
        <f t="shared" si="68"/>
        <v/>
      </c>
      <c r="AT505" s="513" t="str">
        <f t="shared" si="69"/>
        <v/>
      </c>
      <c r="AU505" s="515" t="str">
        <f t="shared" si="70"/>
        <v/>
      </c>
      <c r="AV505" s="517" t="str">
        <f t="shared" si="71"/>
        <v/>
      </c>
      <c r="AW505" s="589" t="str">
        <f>IFERROR(VLOOKUP(功能_33[[#This Row],[功能代號]],SIT_FT!D:D,1,FALSE),"")</f>
        <v/>
      </c>
    </row>
    <row r="506" spans="3:49" ht="13.5" hidden="1" x14ac:dyDescent="0.3">
      <c r="C506" s="276" t="s">
        <v>84</v>
      </c>
      <c r="D506" s="276" t="s">
        <v>2494</v>
      </c>
      <c r="E506" s="275" t="s">
        <v>1294</v>
      </c>
      <c r="F506" s="276" t="s">
        <v>1295</v>
      </c>
      <c r="G506" s="276" t="s">
        <v>1119</v>
      </c>
      <c r="H506" s="275" t="s">
        <v>122</v>
      </c>
      <c r="I506" s="275" t="s">
        <v>123</v>
      </c>
      <c r="J506" s="282" t="s">
        <v>2979</v>
      </c>
      <c r="K506" s="283">
        <v>44575</v>
      </c>
      <c r="L506" s="283"/>
      <c r="M506" s="283">
        <v>44516</v>
      </c>
      <c r="N506" s="283">
        <v>44517</v>
      </c>
      <c r="O506" s="283">
        <v>44536</v>
      </c>
      <c r="P506" s="275" t="s">
        <v>7</v>
      </c>
      <c r="Q506" s="275" t="s">
        <v>25</v>
      </c>
      <c r="V506" s="275"/>
      <c r="X506" s="275"/>
      <c r="Y506" s="275"/>
      <c r="Z506" s="276" t="str">
        <f>VLOOKUP(功能_33[[#This Row],[User]],SKL放款!A:G,7,FALSE)</f>
        <v>放款管理課</v>
      </c>
      <c r="AA506" s="283">
        <v>44533</v>
      </c>
      <c r="AB506" s="283" t="s">
        <v>181</v>
      </c>
      <c r="AC506" s="283">
        <v>44540</v>
      </c>
      <c r="AD506" s="283">
        <v>44540</v>
      </c>
      <c r="AE506" s="215" t="s">
        <v>3008</v>
      </c>
      <c r="AF506" s="283"/>
      <c r="AG506" s="283"/>
      <c r="AH506" s="334"/>
      <c r="AI506" s="283">
        <f>IFERROR(IF(VLOOKUP(功能_33[[#This Row],[功能代號]],E:S,11,FALSE)=0,"",VLOOKUP(功能_33[[#This Row],[功能代號]],E:S,11,FALSE)),"")</f>
        <v>44536</v>
      </c>
      <c r="AJ506" s="283"/>
      <c r="AK506" s="283"/>
      <c r="AL506" s="276"/>
      <c r="AN506" s="275" t="s">
        <v>2700</v>
      </c>
      <c r="AO506" s="276" t="s">
        <v>2812</v>
      </c>
      <c r="AQ506" s="507" t="str">
        <f t="shared" si="66"/>
        <v>8-3</v>
      </c>
      <c r="AR506" s="509" t="str">
        <f t="shared" si="67"/>
        <v/>
      </c>
      <c r="AS506" s="511" t="str">
        <f t="shared" si="68"/>
        <v/>
      </c>
      <c r="AT506" s="513" t="str">
        <f t="shared" si="69"/>
        <v/>
      </c>
      <c r="AU506" s="515" t="str">
        <f t="shared" si="70"/>
        <v/>
      </c>
      <c r="AV506" s="517" t="str">
        <f t="shared" si="71"/>
        <v/>
      </c>
      <c r="AW506" s="589" t="str">
        <f>IFERROR(VLOOKUP(功能_33[[#This Row],[功能代號]],SIT_FT!D:D,1,FALSE),"")</f>
        <v/>
      </c>
    </row>
    <row r="507" spans="3:49" ht="13.5" hidden="1" x14ac:dyDescent="0.3">
      <c r="C507" s="276" t="s">
        <v>84</v>
      </c>
      <c r="D507" s="276" t="s">
        <v>2494</v>
      </c>
      <c r="E507" s="275" t="s">
        <v>1296</v>
      </c>
      <c r="F507" s="276" t="s">
        <v>1297</v>
      </c>
      <c r="G507" s="276" t="s">
        <v>1119</v>
      </c>
      <c r="H507" s="275" t="s">
        <v>122</v>
      </c>
      <c r="I507" s="275" t="s">
        <v>123</v>
      </c>
      <c r="J507" s="282" t="s">
        <v>2979</v>
      </c>
      <c r="K507" s="283">
        <v>44575</v>
      </c>
      <c r="L507" s="283"/>
      <c r="M507" s="283">
        <v>44516</v>
      </c>
      <c r="N507" s="283">
        <v>44517</v>
      </c>
      <c r="O507" s="283">
        <v>44536</v>
      </c>
      <c r="P507" s="275" t="s">
        <v>7</v>
      </c>
      <c r="Q507" s="275" t="s">
        <v>25</v>
      </c>
      <c r="V507" s="275"/>
      <c r="X507" s="275"/>
      <c r="Y507" s="275"/>
      <c r="Z507" s="276" t="str">
        <f>VLOOKUP(功能_33[[#This Row],[User]],SKL放款!A:G,7,FALSE)</f>
        <v>放款管理課</v>
      </c>
      <c r="AA507" s="283">
        <v>44533</v>
      </c>
      <c r="AB507" s="283" t="s">
        <v>181</v>
      </c>
      <c r="AC507" s="283">
        <v>44540</v>
      </c>
      <c r="AD507" s="283">
        <v>44540</v>
      </c>
      <c r="AE507" s="215" t="s">
        <v>3008</v>
      </c>
      <c r="AF507" s="283"/>
      <c r="AG507" s="283"/>
      <c r="AH507" s="334"/>
      <c r="AI507" s="283">
        <f>IFERROR(IF(VLOOKUP(功能_33[[#This Row],[功能代號]],E:S,11,FALSE)=0,"",VLOOKUP(功能_33[[#This Row],[功能代號]],E:S,11,FALSE)),"")</f>
        <v>44536</v>
      </c>
      <c r="AJ507" s="283"/>
      <c r="AK507" s="283"/>
      <c r="AL507" s="276"/>
      <c r="AN507" s="275" t="s">
        <v>2700</v>
      </c>
      <c r="AO507" s="276" t="s">
        <v>2812</v>
      </c>
      <c r="AQ507" s="507" t="str">
        <f t="shared" si="66"/>
        <v>8-3</v>
      </c>
      <c r="AR507" s="509" t="str">
        <f t="shared" si="67"/>
        <v/>
      </c>
      <c r="AS507" s="511" t="str">
        <f t="shared" si="68"/>
        <v/>
      </c>
      <c r="AT507" s="513" t="str">
        <f t="shared" si="69"/>
        <v/>
      </c>
      <c r="AU507" s="515" t="str">
        <f t="shared" si="70"/>
        <v/>
      </c>
      <c r="AV507" s="517" t="str">
        <f t="shared" si="71"/>
        <v/>
      </c>
      <c r="AW507" s="589" t="str">
        <f>IFERROR(VLOOKUP(功能_33[[#This Row],[功能代號]],SIT_FT!D:D,1,FALSE),"")</f>
        <v/>
      </c>
    </row>
    <row r="508" spans="3:49" ht="13.5" hidden="1" x14ac:dyDescent="0.3">
      <c r="C508" s="276" t="s">
        <v>84</v>
      </c>
      <c r="D508" s="276" t="s">
        <v>2494</v>
      </c>
      <c r="E508" s="275" t="s">
        <v>1298</v>
      </c>
      <c r="F508" s="276" t="s">
        <v>1299</v>
      </c>
      <c r="G508" s="276" t="s">
        <v>1119</v>
      </c>
      <c r="H508" s="275" t="s">
        <v>122</v>
      </c>
      <c r="I508" s="275" t="s">
        <v>123</v>
      </c>
      <c r="J508" s="282" t="s">
        <v>2979</v>
      </c>
      <c r="K508" s="283">
        <v>44575</v>
      </c>
      <c r="L508" s="283"/>
      <c r="M508" s="283">
        <v>44516</v>
      </c>
      <c r="N508" s="283">
        <v>44517</v>
      </c>
      <c r="O508" s="283">
        <v>44536</v>
      </c>
      <c r="P508" s="275" t="s">
        <v>7</v>
      </c>
      <c r="Q508" s="275" t="s">
        <v>25</v>
      </c>
      <c r="V508" s="275"/>
      <c r="X508" s="275"/>
      <c r="Y508" s="275"/>
      <c r="Z508" s="276" t="str">
        <f>VLOOKUP(功能_33[[#This Row],[User]],SKL放款!A:G,7,FALSE)</f>
        <v>放款管理課</v>
      </c>
      <c r="AA508" s="283">
        <v>44533</v>
      </c>
      <c r="AB508" s="283" t="s">
        <v>181</v>
      </c>
      <c r="AC508" s="283">
        <v>44540</v>
      </c>
      <c r="AD508" s="283">
        <v>44540</v>
      </c>
      <c r="AE508" s="215" t="s">
        <v>3008</v>
      </c>
      <c r="AF508" s="283"/>
      <c r="AG508" s="283"/>
      <c r="AH508" s="334"/>
      <c r="AI508" s="283">
        <f>IFERROR(IF(VLOOKUP(功能_33[[#This Row],[功能代號]],E:S,11,FALSE)=0,"",VLOOKUP(功能_33[[#This Row],[功能代號]],E:S,11,FALSE)),"")</f>
        <v>44536</v>
      </c>
      <c r="AJ508" s="283"/>
      <c r="AK508" s="283"/>
      <c r="AL508" s="276"/>
      <c r="AN508" s="275" t="s">
        <v>2700</v>
      </c>
      <c r="AO508" s="276" t="s">
        <v>2812</v>
      </c>
      <c r="AQ508" s="507" t="str">
        <f t="shared" si="66"/>
        <v>8-3</v>
      </c>
      <c r="AR508" s="509" t="str">
        <f t="shared" si="67"/>
        <v/>
      </c>
      <c r="AS508" s="511" t="str">
        <f t="shared" si="68"/>
        <v/>
      </c>
      <c r="AT508" s="513" t="str">
        <f t="shared" si="69"/>
        <v/>
      </c>
      <c r="AU508" s="515" t="str">
        <f t="shared" si="70"/>
        <v/>
      </c>
      <c r="AV508" s="517" t="str">
        <f t="shared" si="71"/>
        <v/>
      </c>
      <c r="AW508" s="589" t="str">
        <f>IFERROR(VLOOKUP(功能_33[[#This Row],[功能代號]],SIT_FT!D:D,1,FALSE),"")</f>
        <v/>
      </c>
    </row>
    <row r="509" spans="3:49" ht="13.5" hidden="1" x14ac:dyDescent="0.3">
      <c r="C509" s="276" t="s">
        <v>84</v>
      </c>
      <c r="D509" s="276" t="s">
        <v>2494</v>
      </c>
      <c r="E509" s="275" t="s">
        <v>1300</v>
      </c>
      <c r="F509" s="276" t="s">
        <v>1301</v>
      </c>
      <c r="G509" s="276" t="s">
        <v>1119</v>
      </c>
      <c r="H509" s="275" t="s">
        <v>122</v>
      </c>
      <c r="I509" s="275" t="s">
        <v>123</v>
      </c>
      <c r="J509" s="282" t="s">
        <v>2979</v>
      </c>
      <c r="K509" s="283">
        <v>44575</v>
      </c>
      <c r="L509" s="283"/>
      <c r="M509" s="283">
        <v>44516</v>
      </c>
      <c r="N509" s="283">
        <v>44517</v>
      </c>
      <c r="O509" s="283">
        <v>44536</v>
      </c>
      <c r="P509" s="275" t="s">
        <v>7</v>
      </c>
      <c r="Q509" s="275" t="s">
        <v>25</v>
      </c>
      <c r="V509" s="275"/>
      <c r="X509" s="275"/>
      <c r="Y509" s="275"/>
      <c r="Z509" s="276" t="str">
        <f>VLOOKUP(功能_33[[#This Row],[User]],SKL放款!A:G,7,FALSE)</f>
        <v>放款管理課</v>
      </c>
      <c r="AA509" s="283">
        <v>44533</v>
      </c>
      <c r="AB509" s="283" t="s">
        <v>181</v>
      </c>
      <c r="AC509" s="283">
        <v>44540</v>
      </c>
      <c r="AD509" s="283">
        <v>44540</v>
      </c>
      <c r="AE509" s="215" t="s">
        <v>3008</v>
      </c>
      <c r="AF509" s="283"/>
      <c r="AG509" s="283"/>
      <c r="AH509" s="334"/>
      <c r="AI509" s="283">
        <f>IFERROR(IF(VLOOKUP(功能_33[[#This Row],[功能代號]],E:S,11,FALSE)=0,"",VLOOKUP(功能_33[[#This Row],[功能代號]],E:S,11,FALSE)),"")</f>
        <v>44536</v>
      </c>
      <c r="AJ509" s="283"/>
      <c r="AK509" s="283"/>
      <c r="AL509" s="276"/>
      <c r="AN509" s="275" t="s">
        <v>2700</v>
      </c>
      <c r="AO509" s="276" t="s">
        <v>2812</v>
      </c>
      <c r="AQ509" s="507" t="str">
        <f t="shared" si="66"/>
        <v>8-3</v>
      </c>
      <c r="AR509" s="509" t="str">
        <f t="shared" si="67"/>
        <v/>
      </c>
      <c r="AS509" s="511" t="str">
        <f t="shared" si="68"/>
        <v/>
      </c>
      <c r="AT509" s="513" t="str">
        <f t="shared" si="69"/>
        <v/>
      </c>
      <c r="AU509" s="515" t="str">
        <f t="shared" si="70"/>
        <v/>
      </c>
      <c r="AV509" s="517" t="str">
        <f t="shared" si="71"/>
        <v/>
      </c>
      <c r="AW509" s="589" t="str">
        <f>IFERROR(VLOOKUP(功能_33[[#This Row],[功能代號]],SIT_FT!D:D,1,FALSE),"")</f>
        <v/>
      </c>
    </row>
    <row r="510" spans="3:49" ht="13.5" hidden="1" x14ac:dyDescent="0.3">
      <c r="C510" s="276" t="s">
        <v>84</v>
      </c>
      <c r="D510" s="276" t="s">
        <v>2494</v>
      </c>
      <c r="E510" s="275" t="s">
        <v>1302</v>
      </c>
      <c r="F510" s="276" t="s">
        <v>1303</v>
      </c>
      <c r="G510" s="276" t="s">
        <v>1119</v>
      </c>
      <c r="H510" s="275" t="s">
        <v>122</v>
      </c>
      <c r="I510" s="275" t="s">
        <v>123</v>
      </c>
      <c r="J510" s="282" t="s">
        <v>2979</v>
      </c>
      <c r="K510" s="283">
        <v>44575</v>
      </c>
      <c r="L510" s="283"/>
      <c r="M510" s="283">
        <v>44517</v>
      </c>
      <c r="N510" s="283">
        <v>44517</v>
      </c>
      <c r="O510" s="283">
        <v>44536</v>
      </c>
      <c r="P510" s="275" t="s">
        <v>7</v>
      </c>
      <c r="Q510" s="275" t="s">
        <v>25</v>
      </c>
      <c r="V510" s="275"/>
      <c r="X510" s="275"/>
      <c r="Y510" s="275"/>
      <c r="Z510" s="276" t="str">
        <f>VLOOKUP(功能_33[[#This Row],[User]],SKL放款!A:G,7,FALSE)</f>
        <v>放款管理課</v>
      </c>
      <c r="AA510" s="283">
        <v>44533</v>
      </c>
      <c r="AB510" s="283" t="s">
        <v>181</v>
      </c>
      <c r="AC510" s="283">
        <v>44540</v>
      </c>
      <c r="AD510" s="283">
        <v>44540</v>
      </c>
      <c r="AE510" s="215" t="s">
        <v>3008</v>
      </c>
      <c r="AF510" s="283"/>
      <c r="AG510" s="283"/>
      <c r="AH510" s="334"/>
      <c r="AI510" s="283">
        <f>IFERROR(IF(VLOOKUP(功能_33[[#This Row],[功能代號]],E:S,11,FALSE)=0,"",VLOOKUP(功能_33[[#This Row],[功能代號]],E:S,11,FALSE)),"")</f>
        <v>44536</v>
      </c>
      <c r="AJ510" s="283"/>
      <c r="AK510" s="283"/>
      <c r="AL510" s="276"/>
      <c r="AN510" s="275" t="s">
        <v>2700</v>
      </c>
      <c r="AO510" s="276" t="s">
        <v>2812</v>
      </c>
      <c r="AQ510" s="507" t="str">
        <f t="shared" si="66"/>
        <v>8-3</v>
      </c>
      <c r="AR510" s="509" t="str">
        <f t="shared" si="67"/>
        <v/>
      </c>
      <c r="AS510" s="511" t="str">
        <f t="shared" si="68"/>
        <v/>
      </c>
      <c r="AT510" s="513" t="str">
        <f t="shared" si="69"/>
        <v/>
      </c>
      <c r="AU510" s="515" t="str">
        <f t="shared" si="70"/>
        <v/>
      </c>
      <c r="AV510" s="517" t="str">
        <f t="shared" si="71"/>
        <v/>
      </c>
      <c r="AW510" s="589" t="str">
        <f>IFERROR(VLOOKUP(功能_33[[#This Row],[功能代號]],SIT_FT!D:D,1,FALSE),"")</f>
        <v/>
      </c>
    </row>
    <row r="511" spans="3:49" ht="13.5" hidden="1" x14ac:dyDescent="0.3">
      <c r="C511" s="276" t="s">
        <v>84</v>
      </c>
      <c r="D511" s="276" t="s">
        <v>2494</v>
      </c>
      <c r="E511" s="275" t="s">
        <v>1304</v>
      </c>
      <c r="F511" s="276" t="s">
        <v>1305</v>
      </c>
      <c r="G511" s="276" t="s">
        <v>1119</v>
      </c>
      <c r="H511" s="275" t="s">
        <v>122</v>
      </c>
      <c r="I511" s="275" t="s">
        <v>123</v>
      </c>
      <c r="J511" s="282" t="s">
        <v>2979</v>
      </c>
      <c r="K511" s="283">
        <v>44575</v>
      </c>
      <c r="L511" s="283"/>
      <c r="M511" s="283">
        <v>44517</v>
      </c>
      <c r="N511" s="283">
        <v>44517</v>
      </c>
      <c r="O511" s="283">
        <v>44536</v>
      </c>
      <c r="P511" s="275" t="s">
        <v>7</v>
      </c>
      <c r="Q511" s="275" t="s">
        <v>25</v>
      </c>
      <c r="V511" s="275"/>
      <c r="X511" s="275"/>
      <c r="Y511" s="275"/>
      <c r="Z511" s="276" t="str">
        <f>VLOOKUP(功能_33[[#This Row],[User]],SKL放款!A:G,7,FALSE)</f>
        <v>放款管理課</v>
      </c>
      <c r="AA511" s="283">
        <v>44533</v>
      </c>
      <c r="AB511" s="283" t="s">
        <v>181</v>
      </c>
      <c r="AC511" s="283">
        <v>44540</v>
      </c>
      <c r="AD511" s="283">
        <v>44540</v>
      </c>
      <c r="AE511" s="215" t="s">
        <v>3008</v>
      </c>
      <c r="AF511" s="283"/>
      <c r="AG511" s="283"/>
      <c r="AH511" s="334"/>
      <c r="AI511" s="283">
        <f>IFERROR(IF(VLOOKUP(功能_33[[#This Row],[功能代號]],E:S,11,FALSE)=0,"",VLOOKUP(功能_33[[#This Row],[功能代號]],E:S,11,FALSE)),"")</f>
        <v>44536</v>
      </c>
      <c r="AJ511" s="283"/>
      <c r="AK511" s="283"/>
      <c r="AL511" s="276"/>
      <c r="AN511" s="275" t="s">
        <v>2700</v>
      </c>
      <c r="AO511" s="276" t="s">
        <v>2812</v>
      </c>
      <c r="AQ511" s="507" t="str">
        <f t="shared" si="66"/>
        <v>8-3</v>
      </c>
      <c r="AR511" s="509" t="str">
        <f t="shared" si="67"/>
        <v/>
      </c>
      <c r="AS511" s="511" t="str">
        <f t="shared" si="68"/>
        <v/>
      </c>
      <c r="AT511" s="513" t="str">
        <f t="shared" si="69"/>
        <v/>
      </c>
      <c r="AU511" s="515" t="str">
        <f t="shared" si="70"/>
        <v/>
      </c>
      <c r="AV511" s="517" t="str">
        <f t="shared" si="71"/>
        <v/>
      </c>
      <c r="AW511" s="589" t="str">
        <f>IFERROR(VLOOKUP(功能_33[[#This Row],[功能代號]],SIT_FT!D:D,1,FALSE),"")</f>
        <v/>
      </c>
    </row>
    <row r="512" spans="3:49" ht="13.5" hidden="1" x14ac:dyDescent="0.3">
      <c r="C512" s="276" t="s">
        <v>84</v>
      </c>
      <c r="D512" s="276" t="s">
        <v>2494</v>
      </c>
      <c r="E512" s="275" t="s">
        <v>1306</v>
      </c>
      <c r="F512" s="276" t="s">
        <v>1307</v>
      </c>
      <c r="G512" s="276" t="s">
        <v>1119</v>
      </c>
      <c r="H512" s="275" t="s">
        <v>122</v>
      </c>
      <c r="I512" s="275" t="s">
        <v>123</v>
      </c>
      <c r="J512" s="282" t="s">
        <v>2979</v>
      </c>
      <c r="K512" s="283">
        <v>44575</v>
      </c>
      <c r="L512" s="283"/>
      <c r="M512" s="283">
        <v>44517</v>
      </c>
      <c r="N512" s="283">
        <v>44517</v>
      </c>
      <c r="O512" s="283">
        <v>44536</v>
      </c>
      <c r="P512" s="275" t="s">
        <v>7</v>
      </c>
      <c r="Q512" s="275" t="s">
        <v>25</v>
      </c>
      <c r="V512" s="275"/>
      <c r="X512" s="275"/>
      <c r="Y512" s="275"/>
      <c r="Z512" s="276" t="str">
        <f>VLOOKUP(功能_33[[#This Row],[User]],SKL放款!A:G,7,FALSE)</f>
        <v>放款管理課</v>
      </c>
      <c r="AA512" s="283">
        <v>44533</v>
      </c>
      <c r="AB512" s="283" t="s">
        <v>181</v>
      </c>
      <c r="AC512" s="283">
        <v>44540</v>
      </c>
      <c r="AD512" s="283">
        <v>44540</v>
      </c>
      <c r="AE512" s="215" t="s">
        <v>3008</v>
      </c>
      <c r="AF512" s="283"/>
      <c r="AG512" s="283"/>
      <c r="AH512" s="334"/>
      <c r="AI512" s="283">
        <f>IFERROR(IF(VLOOKUP(功能_33[[#This Row],[功能代號]],E:S,11,FALSE)=0,"",VLOOKUP(功能_33[[#This Row],[功能代號]],E:S,11,FALSE)),"")</f>
        <v>44536</v>
      </c>
      <c r="AJ512" s="283"/>
      <c r="AK512" s="283"/>
      <c r="AL512" s="276"/>
      <c r="AN512" s="275" t="s">
        <v>2700</v>
      </c>
      <c r="AO512" s="276" t="s">
        <v>2812</v>
      </c>
      <c r="AQ512" s="507" t="str">
        <f t="shared" si="66"/>
        <v>8-3</v>
      </c>
      <c r="AR512" s="509" t="str">
        <f t="shared" si="67"/>
        <v/>
      </c>
      <c r="AS512" s="511" t="str">
        <f t="shared" si="68"/>
        <v/>
      </c>
      <c r="AT512" s="513" t="str">
        <f t="shared" si="69"/>
        <v/>
      </c>
      <c r="AU512" s="515" t="str">
        <f t="shared" si="70"/>
        <v/>
      </c>
      <c r="AV512" s="517" t="str">
        <f t="shared" si="71"/>
        <v/>
      </c>
      <c r="AW512" s="589" t="str">
        <f>IFERROR(VLOOKUP(功能_33[[#This Row],[功能代號]],SIT_FT!D:D,1,FALSE),"")</f>
        <v/>
      </c>
    </row>
    <row r="513" spans="3:49" ht="13.5" hidden="1" x14ac:dyDescent="0.3">
      <c r="C513" s="276" t="s">
        <v>84</v>
      </c>
      <c r="D513" s="276" t="s">
        <v>2494</v>
      </c>
      <c r="E513" s="275" t="s">
        <v>1308</v>
      </c>
      <c r="F513" s="276" t="s">
        <v>1309</v>
      </c>
      <c r="G513" s="276" t="s">
        <v>1119</v>
      </c>
      <c r="H513" s="275" t="s">
        <v>122</v>
      </c>
      <c r="I513" s="275" t="s">
        <v>123</v>
      </c>
      <c r="J513" s="282" t="s">
        <v>2979</v>
      </c>
      <c r="K513" s="283">
        <v>44575</v>
      </c>
      <c r="L513" s="283"/>
      <c r="M513" s="283">
        <v>44517</v>
      </c>
      <c r="N513" s="283">
        <v>44517</v>
      </c>
      <c r="O513" s="283">
        <v>44536</v>
      </c>
      <c r="P513" s="275" t="s">
        <v>7</v>
      </c>
      <c r="Q513" s="275" t="s">
        <v>25</v>
      </c>
      <c r="V513" s="275"/>
      <c r="X513" s="275"/>
      <c r="Y513" s="275"/>
      <c r="Z513" s="276" t="str">
        <f>VLOOKUP(功能_33[[#This Row],[User]],SKL放款!A:G,7,FALSE)</f>
        <v>放款管理課</v>
      </c>
      <c r="AA513" s="283">
        <v>44533</v>
      </c>
      <c r="AB513" s="283" t="s">
        <v>181</v>
      </c>
      <c r="AC513" s="283">
        <v>44540</v>
      </c>
      <c r="AD513" s="283">
        <v>44540</v>
      </c>
      <c r="AE513" s="215" t="s">
        <v>3008</v>
      </c>
      <c r="AF513" s="283"/>
      <c r="AG513" s="283"/>
      <c r="AH513" s="334"/>
      <c r="AI513" s="283">
        <f>IFERROR(IF(VLOOKUP(功能_33[[#This Row],[功能代號]],E:S,11,FALSE)=0,"",VLOOKUP(功能_33[[#This Row],[功能代號]],E:S,11,FALSE)),"")</f>
        <v>44536</v>
      </c>
      <c r="AJ513" s="283"/>
      <c r="AK513" s="283"/>
      <c r="AL513" s="276"/>
      <c r="AN513" s="275" t="s">
        <v>2700</v>
      </c>
      <c r="AO513" s="276" t="s">
        <v>2812</v>
      </c>
      <c r="AQ513" s="507" t="str">
        <f t="shared" si="66"/>
        <v>8-3</v>
      </c>
      <c r="AR513" s="509" t="str">
        <f t="shared" si="67"/>
        <v/>
      </c>
      <c r="AS513" s="511" t="str">
        <f t="shared" si="68"/>
        <v/>
      </c>
      <c r="AT513" s="513" t="str">
        <f t="shared" si="69"/>
        <v/>
      </c>
      <c r="AU513" s="515" t="str">
        <f t="shared" si="70"/>
        <v/>
      </c>
      <c r="AV513" s="517" t="str">
        <f t="shared" si="71"/>
        <v/>
      </c>
      <c r="AW513" s="589" t="str">
        <f>IFERROR(VLOOKUP(功能_33[[#This Row],[功能代號]],SIT_FT!D:D,1,FALSE),"")</f>
        <v/>
      </c>
    </row>
    <row r="514" spans="3:49" ht="13.5" hidden="1" x14ac:dyDescent="0.3">
      <c r="C514" s="276" t="s">
        <v>84</v>
      </c>
      <c r="D514" s="276" t="s">
        <v>2494</v>
      </c>
      <c r="E514" s="275" t="s">
        <v>1310</v>
      </c>
      <c r="F514" s="276" t="s">
        <v>1311</v>
      </c>
      <c r="G514" s="276" t="s">
        <v>1119</v>
      </c>
      <c r="H514" s="275" t="s">
        <v>122</v>
      </c>
      <c r="I514" s="275" t="s">
        <v>123</v>
      </c>
      <c r="J514" s="282" t="s">
        <v>2979</v>
      </c>
      <c r="K514" s="283">
        <v>44575</v>
      </c>
      <c r="L514" s="283"/>
      <c r="M514" s="283">
        <v>44518</v>
      </c>
      <c r="N514" s="283">
        <v>44517</v>
      </c>
      <c r="O514" s="283">
        <v>44536</v>
      </c>
      <c r="P514" s="275" t="s">
        <v>7</v>
      </c>
      <c r="Q514" s="275" t="s">
        <v>25</v>
      </c>
      <c r="V514" s="275"/>
      <c r="X514" s="275"/>
      <c r="Y514" s="275"/>
      <c r="Z514" s="276" t="str">
        <f>VLOOKUP(功能_33[[#This Row],[User]],SKL放款!A:G,7,FALSE)</f>
        <v>放款管理課</v>
      </c>
      <c r="AA514" s="283">
        <v>44533</v>
      </c>
      <c r="AB514" s="283" t="s">
        <v>181</v>
      </c>
      <c r="AC514" s="283">
        <v>44540</v>
      </c>
      <c r="AD514" s="283">
        <v>44540</v>
      </c>
      <c r="AE514" s="215" t="s">
        <v>3008</v>
      </c>
      <c r="AF514" s="283"/>
      <c r="AG514" s="283"/>
      <c r="AH514" s="334"/>
      <c r="AI514" s="283">
        <f>IFERROR(IF(VLOOKUP(功能_33[[#This Row],[功能代號]],E:S,11,FALSE)=0,"",VLOOKUP(功能_33[[#This Row],[功能代號]],E:S,11,FALSE)),"")</f>
        <v>44536</v>
      </c>
      <c r="AJ514" s="283"/>
      <c r="AK514" s="283"/>
      <c r="AL514" s="276"/>
      <c r="AN514" s="275" t="s">
        <v>2700</v>
      </c>
      <c r="AO514" s="276" t="s">
        <v>2812</v>
      </c>
      <c r="AQ514" s="507" t="str">
        <f t="shared" si="66"/>
        <v>8-3</v>
      </c>
      <c r="AR514" s="509" t="str">
        <f t="shared" si="67"/>
        <v/>
      </c>
      <c r="AS514" s="511" t="str">
        <f t="shared" si="68"/>
        <v/>
      </c>
      <c r="AT514" s="513" t="str">
        <f t="shared" si="69"/>
        <v/>
      </c>
      <c r="AU514" s="515" t="str">
        <f t="shared" si="70"/>
        <v/>
      </c>
      <c r="AV514" s="517" t="str">
        <f t="shared" si="71"/>
        <v/>
      </c>
      <c r="AW514" s="589" t="str">
        <f>IFERROR(VLOOKUP(功能_33[[#This Row],[功能代號]],SIT_FT!D:D,1,FALSE),"")</f>
        <v/>
      </c>
    </row>
    <row r="515" spans="3:49" ht="13.5" hidden="1" x14ac:dyDescent="0.3">
      <c r="C515" s="276" t="s">
        <v>84</v>
      </c>
      <c r="D515" s="276" t="s">
        <v>2494</v>
      </c>
      <c r="E515" s="275" t="s">
        <v>1312</v>
      </c>
      <c r="F515" s="276" t="s">
        <v>1313</v>
      </c>
      <c r="G515" s="276" t="s">
        <v>1119</v>
      </c>
      <c r="H515" s="275" t="s">
        <v>122</v>
      </c>
      <c r="I515" s="275" t="s">
        <v>123</v>
      </c>
      <c r="J515" s="282" t="s">
        <v>2979</v>
      </c>
      <c r="K515" s="283">
        <v>44575</v>
      </c>
      <c r="L515" s="283"/>
      <c r="M515" s="283">
        <v>44518</v>
      </c>
      <c r="N515" s="283">
        <v>44517</v>
      </c>
      <c r="O515" s="283">
        <v>44536</v>
      </c>
      <c r="P515" s="275" t="s">
        <v>7</v>
      </c>
      <c r="Q515" s="275" t="s">
        <v>25</v>
      </c>
      <c r="V515" s="275"/>
      <c r="X515" s="275"/>
      <c r="Y515" s="275"/>
      <c r="Z515" s="276" t="str">
        <f>VLOOKUP(功能_33[[#This Row],[User]],SKL放款!A:G,7,FALSE)</f>
        <v>放款管理課</v>
      </c>
      <c r="AA515" s="283">
        <v>44533</v>
      </c>
      <c r="AB515" s="283" t="s">
        <v>181</v>
      </c>
      <c r="AC515" s="283">
        <v>44540</v>
      </c>
      <c r="AD515" s="283">
        <v>44540</v>
      </c>
      <c r="AE515" s="215" t="s">
        <v>3008</v>
      </c>
      <c r="AF515" s="283"/>
      <c r="AG515" s="283"/>
      <c r="AH515" s="334"/>
      <c r="AI515" s="283">
        <f>IFERROR(IF(VLOOKUP(功能_33[[#This Row],[功能代號]],E:S,11,FALSE)=0,"",VLOOKUP(功能_33[[#This Row],[功能代號]],E:S,11,FALSE)),"")</f>
        <v>44536</v>
      </c>
      <c r="AJ515" s="283"/>
      <c r="AK515" s="283"/>
      <c r="AL515" s="276"/>
      <c r="AN515" s="275" t="s">
        <v>2700</v>
      </c>
      <c r="AO515" s="276" t="s">
        <v>2812</v>
      </c>
      <c r="AQ515" s="507" t="str">
        <f t="shared" si="66"/>
        <v>8-3</v>
      </c>
      <c r="AR515" s="509" t="str">
        <f t="shared" si="67"/>
        <v/>
      </c>
      <c r="AS515" s="511" t="str">
        <f t="shared" si="68"/>
        <v/>
      </c>
      <c r="AT515" s="513" t="str">
        <f t="shared" si="69"/>
        <v/>
      </c>
      <c r="AU515" s="515" t="str">
        <f t="shared" si="70"/>
        <v/>
      </c>
      <c r="AV515" s="517" t="str">
        <f t="shared" si="71"/>
        <v/>
      </c>
      <c r="AW515" s="589" t="str">
        <f>IFERROR(VLOOKUP(功能_33[[#This Row],[功能代號]],SIT_FT!D:D,1,FALSE),"")</f>
        <v/>
      </c>
    </row>
    <row r="516" spans="3:49" ht="13.5" hidden="1" x14ac:dyDescent="0.3">
      <c r="C516" s="276" t="s">
        <v>84</v>
      </c>
      <c r="D516" s="276" t="s">
        <v>2494</v>
      </c>
      <c r="E516" s="275" t="s">
        <v>1314</v>
      </c>
      <c r="F516" s="276" t="s">
        <v>1315</v>
      </c>
      <c r="G516" s="276" t="s">
        <v>1119</v>
      </c>
      <c r="H516" s="275" t="s">
        <v>122</v>
      </c>
      <c r="I516" s="275" t="s">
        <v>123</v>
      </c>
      <c r="J516" s="282" t="s">
        <v>2979</v>
      </c>
      <c r="K516" s="283">
        <v>44575</v>
      </c>
      <c r="L516" s="283"/>
      <c r="M516" s="283">
        <v>44518</v>
      </c>
      <c r="N516" s="283">
        <v>44517</v>
      </c>
      <c r="O516" s="283">
        <v>44536</v>
      </c>
      <c r="P516" s="275" t="s">
        <v>7</v>
      </c>
      <c r="Q516" s="275" t="s">
        <v>25</v>
      </c>
      <c r="V516" s="275"/>
      <c r="X516" s="275"/>
      <c r="Y516" s="275"/>
      <c r="Z516" s="276" t="str">
        <f>VLOOKUP(功能_33[[#This Row],[User]],SKL放款!A:G,7,FALSE)</f>
        <v>放款管理課</v>
      </c>
      <c r="AA516" s="283">
        <v>44533</v>
      </c>
      <c r="AB516" s="283" t="s">
        <v>181</v>
      </c>
      <c r="AC516" s="283">
        <v>44540</v>
      </c>
      <c r="AD516" s="283">
        <v>44540</v>
      </c>
      <c r="AE516" s="215" t="s">
        <v>3008</v>
      </c>
      <c r="AF516" s="283"/>
      <c r="AG516" s="283"/>
      <c r="AH516" s="334"/>
      <c r="AI516" s="283">
        <f>IFERROR(IF(VLOOKUP(功能_33[[#This Row],[功能代號]],E:S,11,FALSE)=0,"",VLOOKUP(功能_33[[#This Row],[功能代號]],E:S,11,FALSE)),"")</f>
        <v>44536</v>
      </c>
      <c r="AJ516" s="283"/>
      <c r="AK516" s="283"/>
      <c r="AL516" s="276"/>
      <c r="AN516" s="275" t="s">
        <v>2700</v>
      </c>
      <c r="AO516" s="276" t="s">
        <v>2812</v>
      </c>
      <c r="AQ516" s="507" t="str">
        <f t="shared" si="66"/>
        <v>8-3</v>
      </c>
      <c r="AR516" s="509" t="str">
        <f t="shared" si="67"/>
        <v/>
      </c>
      <c r="AS516" s="511" t="str">
        <f t="shared" si="68"/>
        <v/>
      </c>
      <c r="AT516" s="513" t="str">
        <f t="shared" si="69"/>
        <v/>
      </c>
      <c r="AU516" s="515" t="str">
        <f t="shared" si="70"/>
        <v/>
      </c>
      <c r="AV516" s="517" t="str">
        <f t="shared" si="71"/>
        <v/>
      </c>
      <c r="AW516" s="589" t="str">
        <f>IFERROR(VLOOKUP(功能_33[[#This Row],[功能代號]],SIT_FT!D:D,1,FALSE),"")</f>
        <v/>
      </c>
    </row>
    <row r="517" spans="3:49" ht="13.5" hidden="1" x14ac:dyDescent="0.3">
      <c r="C517" s="276" t="s">
        <v>84</v>
      </c>
      <c r="D517" s="276" t="s">
        <v>2494</v>
      </c>
      <c r="E517" s="275" t="s">
        <v>1316</v>
      </c>
      <c r="F517" s="276" t="s">
        <v>1317</v>
      </c>
      <c r="G517" s="276" t="s">
        <v>1119</v>
      </c>
      <c r="H517" s="275" t="s">
        <v>122</v>
      </c>
      <c r="I517" s="275" t="s">
        <v>123</v>
      </c>
      <c r="J517" s="282" t="s">
        <v>2979</v>
      </c>
      <c r="K517" s="283">
        <v>44575</v>
      </c>
      <c r="L517" s="283"/>
      <c r="M517" s="283">
        <v>44518</v>
      </c>
      <c r="N517" s="283">
        <v>44517</v>
      </c>
      <c r="O517" s="283">
        <v>44536</v>
      </c>
      <c r="P517" s="275" t="s">
        <v>7</v>
      </c>
      <c r="Q517" s="275" t="s">
        <v>25</v>
      </c>
      <c r="V517" s="275"/>
      <c r="X517" s="275"/>
      <c r="Y517" s="275"/>
      <c r="Z517" s="276" t="str">
        <f>VLOOKUP(功能_33[[#This Row],[User]],SKL放款!A:G,7,FALSE)</f>
        <v>放款管理課</v>
      </c>
      <c r="AA517" s="283">
        <v>44533</v>
      </c>
      <c r="AB517" s="283" t="s">
        <v>181</v>
      </c>
      <c r="AC517" s="283">
        <v>44540</v>
      </c>
      <c r="AD517" s="283">
        <v>44540</v>
      </c>
      <c r="AE517" s="215" t="s">
        <v>3008</v>
      </c>
      <c r="AF517" s="283"/>
      <c r="AG517" s="283"/>
      <c r="AH517" s="334"/>
      <c r="AI517" s="283">
        <f>IFERROR(IF(VLOOKUP(功能_33[[#This Row],[功能代號]],E:S,11,FALSE)=0,"",VLOOKUP(功能_33[[#This Row],[功能代號]],E:S,11,FALSE)),"")</f>
        <v>44536</v>
      </c>
      <c r="AJ517" s="283"/>
      <c r="AK517" s="283"/>
      <c r="AL517" s="276"/>
      <c r="AN517" s="275" t="s">
        <v>2700</v>
      </c>
      <c r="AO517" s="276" t="s">
        <v>2812</v>
      </c>
      <c r="AQ517" s="507" t="str">
        <f t="shared" si="66"/>
        <v>8-3</v>
      </c>
      <c r="AR517" s="509" t="str">
        <f t="shared" si="67"/>
        <v/>
      </c>
      <c r="AS517" s="511" t="str">
        <f t="shared" si="68"/>
        <v/>
      </c>
      <c r="AT517" s="513" t="str">
        <f t="shared" si="69"/>
        <v/>
      </c>
      <c r="AU517" s="515" t="str">
        <f t="shared" si="70"/>
        <v/>
      </c>
      <c r="AV517" s="517" t="str">
        <f t="shared" si="71"/>
        <v/>
      </c>
      <c r="AW517" s="589" t="str">
        <f>IFERROR(VLOOKUP(功能_33[[#This Row],[功能代號]],SIT_FT!D:D,1,FALSE),"")</f>
        <v/>
      </c>
    </row>
    <row r="518" spans="3:49" ht="13.5" hidden="1" x14ac:dyDescent="0.3">
      <c r="C518" s="276" t="s">
        <v>84</v>
      </c>
      <c r="D518" s="276" t="s">
        <v>2494</v>
      </c>
      <c r="E518" s="275" t="s">
        <v>1318</v>
      </c>
      <c r="F518" s="276" t="s">
        <v>1319</v>
      </c>
      <c r="G518" s="276" t="s">
        <v>1119</v>
      </c>
      <c r="H518" s="275" t="s">
        <v>122</v>
      </c>
      <c r="I518" s="275" t="s">
        <v>123</v>
      </c>
      <c r="J518" s="282" t="s">
        <v>2979</v>
      </c>
      <c r="K518" s="283">
        <v>44575</v>
      </c>
      <c r="L518" s="283"/>
      <c r="M518" s="283">
        <v>44518</v>
      </c>
      <c r="N518" s="283">
        <v>44517</v>
      </c>
      <c r="O518" s="283">
        <v>44536</v>
      </c>
      <c r="P518" s="275" t="s">
        <v>7</v>
      </c>
      <c r="Q518" s="275" t="s">
        <v>25</v>
      </c>
      <c r="V518" s="275"/>
      <c r="X518" s="275"/>
      <c r="Y518" s="275"/>
      <c r="Z518" s="276" t="str">
        <f>VLOOKUP(功能_33[[#This Row],[User]],SKL放款!A:G,7,FALSE)</f>
        <v>放款管理課</v>
      </c>
      <c r="AA518" s="283">
        <v>44533</v>
      </c>
      <c r="AB518" s="283" t="s">
        <v>181</v>
      </c>
      <c r="AC518" s="283">
        <v>44540</v>
      </c>
      <c r="AD518" s="283">
        <v>44540</v>
      </c>
      <c r="AE518" s="215" t="s">
        <v>3008</v>
      </c>
      <c r="AF518" s="283"/>
      <c r="AG518" s="283"/>
      <c r="AH518" s="334"/>
      <c r="AI518" s="283">
        <f>IFERROR(IF(VLOOKUP(功能_33[[#This Row],[功能代號]],E:S,11,FALSE)=0,"",VLOOKUP(功能_33[[#This Row],[功能代號]],E:S,11,FALSE)),"")</f>
        <v>44536</v>
      </c>
      <c r="AJ518" s="283"/>
      <c r="AK518" s="283"/>
      <c r="AL518" s="276"/>
      <c r="AN518" s="275" t="s">
        <v>2700</v>
      </c>
      <c r="AO518" s="276" t="s">
        <v>2812</v>
      </c>
      <c r="AQ518" s="507" t="str">
        <f t="shared" si="66"/>
        <v>8-3</v>
      </c>
      <c r="AR518" s="509" t="str">
        <f t="shared" si="67"/>
        <v/>
      </c>
      <c r="AS518" s="511" t="str">
        <f t="shared" si="68"/>
        <v/>
      </c>
      <c r="AT518" s="513" t="str">
        <f t="shared" si="69"/>
        <v/>
      </c>
      <c r="AU518" s="515" t="str">
        <f t="shared" si="70"/>
        <v/>
      </c>
      <c r="AV518" s="517" t="str">
        <f t="shared" si="71"/>
        <v/>
      </c>
      <c r="AW518" s="589" t="str">
        <f>IFERROR(VLOOKUP(功能_33[[#This Row],[功能代號]],SIT_FT!D:D,1,FALSE),"")</f>
        <v/>
      </c>
    </row>
    <row r="519" spans="3:49" ht="13.5" hidden="1" x14ac:dyDescent="0.3">
      <c r="C519" s="276" t="s">
        <v>84</v>
      </c>
      <c r="D519" s="276" t="s">
        <v>2494</v>
      </c>
      <c r="E519" s="275" t="s">
        <v>1320</v>
      </c>
      <c r="F519" s="276" t="s">
        <v>1321</v>
      </c>
      <c r="G519" s="276" t="s">
        <v>1119</v>
      </c>
      <c r="H519" s="275" t="s">
        <v>122</v>
      </c>
      <c r="I519" s="275" t="s">
        <v>123</v>
      </c>
      <c r="J519" s="282" t="s">
        <v>2979</v>
      </c>
      <c r="K519" s="283">
        <v>44575</v>
      </c>
      <c r="L519" s="283"/>
      <c r="M519" s="283">
        <v>44518</v>
      </c>
      <c r="N519" s="283">
        <v>44517</v>
      </c>
      <c r="O519" s="283">
        <v>44536</v>
      </c>
      <c r="P519" s="275" t="s">
        <v>7</v>
      </c>
      <c r="Q519" s="275" t="s">
        <v>25</v>
      </c>
      <c r="V519" s="275"/>
      <c r="X519" s="275"/>
      <c r="Y519" s="275"/>
      <c r="Z519" s="276" t="str">
        <f>VLOOKUP(功能_33[[#This Row],[User]],SKL放款!A:G,7,FALSE)</f>
        <v>放款管理課</v>
      </c>
      <c r="AA519" s="283">
        <v>44533</v>
      </c>
      <c r="AB519" s="283" t="s">
        <v>181</v>
      </c>
      <c r="AC519" s="283">
        <v>44540</v>
      </c>
      <c r="AD519" s="283">
        <v>44540</v>
      </c>
      <c r="AE519" s="215" t="s">
        <v>3008</v>
      </c>
      <c r="AF519" s="283"/>
      <c r="AG519" s="283"/>
      <c r="AH519" s="334"/>
      <c r="AI519" s="283">
        <f>IFERROR(IF(VLOOKUP(功能_33[[#This Row],[功能代號]],E:S,11,FALSE)=0,"",VLOOKUP(功能_33[[#This Row],[功能代號]],E:S,11,FALSE)),"")</f>
        <v>44536</v>
      </c>
      <c r="AJ519" s="283"/>
      <c r="AK519" s="283"/>
      <c r="AL519" s="276"/>
      <c r="AN519" s="275" t="s">
        <v>2700</v>
      </c>
      <c r="AO519" s="276" t="s">
        <v>2812</v>
      </c>
      <c r="AQ519" s="507" t="str">
        <f t="shared" si="66"/>
        <v>8-3</v>
      </c>
      <c r="AR519" s="509" t="str">
        <f t="shared" si="67"/>
        <v/>
      </c>
      <c r="AS519" s="511" t="str">
        <f t="shared" si="68"/>
        <v/>
      </c>
      <c r="AT519" s="513" t="str">
        <f t="shared" si="69"/>
        <v/>
      </c>
      <c r="AU519" s="515" t="str">
        <f t="shared" si="70"/>
        <v/>
      </c>
      <c r="AV519" s="517" t="str">
        <f t="shared" si="71"/>
        <v/>
      </c>
      <c r="AW519" s="589" t="str">
        <f>IFERROR(VLOOKUP(功能_33[[#This Row],[功能代號]],SIT_FT!D:D,1,FALSE),"")</f>
        <v/>
      </c>
    </row>
    <row r="520" spans="3:49" ht="13.5" hidden="1" x14ac:dyDescent="0.3">
      <c r="C520" s="276" t="s">
        <v>84</v>
      </c>
      <c r="D520" s="276" t="s">
        <v>2494</v>
      </c>
      <c r="E520" s="275" t="s">
        <v>1322</v>
      </c>
      <c r="F520" s="276" t="s">
        <v>1323</v>
      </c>
      <c r="G520" s="276" t="s">
        <v>1119</v>
      </c>
      <c r="H520" s="275" t="s">
        <v>122</v>
      </c>
      <c r="I520" s="275" t="s">
        <v>123</v>
      </c>
      <c r="J520" s="282" t="s">
        <v>2979</v>
      </c>
      <c r="K520" s="283">
        <v>44575</v>
      </c>
      <c r="L520" s="283"/>
      <c r="M520" s="283">
        <v>44518</v>
      </c>
      <c r="N520" s="283">
        <v>44517</v>
      </c>
      <c r="O520" s="283">
        <v>44536</v>
      </c>
      <c r="P520" s="275" t="s">
        <v>7</v>
      </c>
      <c r="Q520" s="275" t="s">
        <v>25</v>
      </c>
      <c r="V520" s="275"/>
      <c r="X520" s="275"/>
      <c r="Y520" s="275"/>
      <c r="Z520" s="276" t="str">
        <f>VLOOKUP(功能_33[[#This Row],[User]],SKL放款!A:G,7,FALSE)</f>
        <v>放款管理課</v>
      </c>
      <c r="AA520" s="283">
        <v>44533</v>
      </c>
      <c r="AB520" s="283" t="s">
        <v>181</v>
      </c>
      <c r="AC520" s="283">
        <v>44540</v>
      </c>
      <c r="AD520" s="283">
        <v>44540</v>
      </c>
      <c r="AE520" s="215" t="s">
        <v>3008</v>
      </c>
      <c r="AF520" s="283"/>
      <c r="AG520" s="283"/>
      <c r="AH520" s="334"/>
      <c r="AI520" s="283">
        <f>IFERROR(IF(VLOOKUP(功能_33[[#This Row],[功能代號]],E:S,11,FALSE)=0,"",VLOOKUP(功能_33[[#This Row],[功能代號]],E:S,11,FALSE)),"")</f>
        <v>44536</v>
      </c>
      <c r="AJ520" s="283"/>
      <c r="AK520" s="283"/>
      <c r="AL520" s="276"/>
      <c r="AN520" s="275" t="s">
        <v>2700</v>
      </c>
      <c r="AO520" s="276" t="s">
        <v>2812</v>
      </c>
      <c r="AQ520" s="507" t="str">
        <f t="shared" si="66"/>
        <v>8-3</v>
      </c>
      <c r="AR520" s="509" t="str">
        <f t="shared" si="67"/>
        <v/>
      </c>
      <c r="AS520" s="511" t="str">
        <f t="shared" si="68"/>
        <v/>
      </c>
      <c r="AT520" s="513" t="str">
        <f t="shared" si="69"/>
        <v/>
      </c>
      <c r="AU520" s="515" t="str">
        <f t="shared" si="70"/>
        <v/>
      </c>
      <c r="AV520" s="517" t="str">
        <f t="shared" si="71"/>
        <v/>
      </c>
      <c r="AW520" s="589" t="str">
        <f>IFERROR(VLOOKUP(功能_33[[#This Row],[功能代號]],SIT_FT!D:D,1,FALSE),"")</f>
        <v/>
      </c>
    </row>
    <row r="521" spans="3:49" ht="13.5" hidden="1" x14ac:dyDescent="0.3">
      <c r="C521" s="276" t="s">
        <v>84</v>
      </c>
      <c r="D521" s="276" t="s">
        <v>2494</v>
      </c>
      <c r="E521" s="275" t="s">
        <v>1324</v>
      </c>
      <c r="F521" s="276" t="s">
        <v>1325</v>
      </c>
      <c r="G521" s="276" t="s">
        <v>1119</v>
      </c>
      <c r="H521" s="275" t="s">
        <v>122</v>
      </c>
      <c r="I521" s="275" t="s">
        <v>123</v>
      </c>
      <c r="J521" s="282" t="s">
        <v>2979</v>
      </c>
      <c r="K521" s="283">
        <v>44575</v>
      </c>
      <c r="L521" s="283"/>
      <c r="M521" s="283">
        <v>44518</v>
      </c>
      <c r="N521" s="283">
        <v>44517</v>
      </c>
      <c r="O521" s="283">
        <v>44536</v>
      </c>
      <c r="P521" s="275" t="s">
        <v>7</v>
      </c>
      <c r="Q521" s="275" t="s">
        <v>25</v>
      </c>
      <c r="V521" s="275"/>
      <c r="X521" s="275"/>
      <c r="Y521" s="275"/>
      <c r="Z521" s="276" t="str">
        <f>VLOOKUP(功能_33[[#This Row],[User]],SKL放款!A:G,7,FALSE)</f>
        <v>放款管理課</v>
      </c>
      <c r="AA521" s="283">
        <v>44533</v>
      </c>
      <c r="AB521" s="283" t="s">
        <v>181</v>
      </c>
      <c r="AC521" s="283">
        <v>44540</v>
      </c>
      <c r="AD521" s="283">
        <v>44540</v>
      </c>
      <c r="AE521" s="215" t="s">
        <v>3008</v>
      </c>
      <c r="AF521" s="283"/>
      <c r="AG521" s="283"/>
      <c r="AH521" s="334"/>
      <c r="AI521" s="283">
        <f>IFERROR(IF(VLOOKUP(功能_33[[#This Row],[功能代號]],E:S,11,FALSE)=0,"",VLOOKUP(功能_33[[#This Row],[功能代號]],E:S,11,FALSE)),"")</f>
        <v>44536</v>
      </c>
      <c r="AJ521" s="283"/>
      <c r="AK521" s="283"/>
      <c r="AL521" s="276"/>
      <c r="AN521" s="275" t="s">
        <v>2700</v>
      </c>
      <c r="AO521" s="276" t="s">
        <v>2812</v>
      </c>
      <c r="AQ521" s="507" t="str">
        <f t="shared" ref="AQ521:AQ556" si="72">IF(COUNTA(AE521)=1,LEFT(D521,3),"")</f>
        <v>8-3</v>
      </c>
      <c r="AR521" s="509" t="str">
        <f t="shared" ref="AR521:AR556" si="73">IF(AND(COUNTA(N521)=1,COUNTA(O521)=1,COUNTA(AA521)=1,COUNTA(AD521)=1,COUNTA(AE521)=0),LEFT(D521,3),"")</f>
        <v/>
      </c>
      <c r="AS521" s="511" t="str">
        <f t="shared" ref="AS521:AS556" si="74">IF(AND(COUNTA(N521)=1,COUNTA(O521)=1,COUNTA(AA521)=1,COUNTA(AD521)=0,COUNTA(AE521)=0),LEFT(D521,3),"")</f>
        <v/>
      </c>
      <c r="AT521" s="513" t="str">
        <f t="shared" ref="AT521:AT556" si="75">IF(AND(COUNTA(O521)=0,COUNTA(AA521)=1),LEFT(D521,3),"")</f>
        <v/>
      </c>
      <c r="AU521" s="515" t="str">
        <f t="shared" ref="AU521:AU556" si="76">IF(AND(COUNTA(O521)=1,COUNTA(AA521)=0),LEFT(D521,3),"")</f>
        <v/>
      </c>
      <c r="AV521" s="517" t="str">
        <f t="shared" ref="AV521:AV556" si="77">IF(AND(COUNTA(O521)=0,COUNTA(AA521)=0),LEFT(D521,3),"")</f>
        <v/>
      </c>
      <c r="AW521" s="589" t="str">
        <f>IFERROR(VLOOKUP(功能_33[[#This Row],[功能代號]],SIT_FT!D:D,1,FALSE),"")</f>
        <v/>
      </c>
    </row>
    <row r="522" spans="3:49" ht="13.5" hidden="1" x14ac:dyDescent="0.3">
      <c r="C522" s="276" t="s">
        <v>84</v>
      </c>
      <c r="D522" s="276" t="s">
        <v>2494</v>
      </c>
      <c r="E522" s="275" t="s">
        <v>1326</v>
      </c>
      <c r="F522" s="276" t="s">
        <v>1327</v>
      </c>
      <c r="G522" s="276" t="s">
        <v>1119</v>
      </c>
      <c r="H522" s="275" t="s">
        <v>122</v>
      </c>
      <c r="I522" s="275" t="s">
        <v>123</v>
      </c>
      <c r="J522" s="282" t="s">
        <v>2979</v>
      </c>
      <c r="K522" s="283">
        <v>44575</v>
      </c>
      <c r="L522" s="283"/>
      <c r="M522" s="283">
        <v>44518</v>
      </c>
      <c r="N522" s="283">
        <v>44517</v>
      </c>
      <c r="O522" s="283">
        <v>44536</v>
      </c>
      <c r="P522" s="275" t="s">
        <v>7</v>
      </c>
      <c r="Q522" s="275" t="s">
        <v>25</v>
      </c>
      <c r="V522" s="275"/>
      <c r="X522" s="275"/>
      <c r="Y522" s="275"/>
      <c r="Z522" s="276" t="str">
        <f>VLOOKUP(功能_33[[#This Row],[User]],SKL放款!A:G,7,FALSE)</f>
        <v>放款管理課</v>
      </c>
      <c r="AA522" s="283">
        <v>44533</v>
      </c>
      <c r="AB522" s="283" t="s">
        <v>181</v>
      </c>
      <c r="AC522" s="283">
        <v>44540</v>
      </c>
      <c r="AD522" s="283">
        <v>44540</v>
      </c>
      <c r="AE522" s="215" t="s">
        <v>3008</v>
      </c>
      <c r="AF522" s="283"/>
      <c r="AG522" s="283"/>
      <c r="AH522" s="334"/>
      <c r="AI522" s="283">
        <f>IFERROR(IF(VLOOKUP(功能_33[[#This Row],[功能代號]],E:S,11,FALSE)=0,"",VLOOKUP(功能_33[[#This Row],[功能代號]],E:S,11,FALSE)),"")</f>
        <v>44536</v>
      </c>
      <c r="AJ522" s="283"/>
      <c r="AK522" s="283"/>
      <c r="AL522" s="276"/>
      <c r="AN522" s="275" t="s">
        <v>2700</v>
      </c>
      <c r="AO522" s="276" t="s">
        <v>2812</v>
      </c>
      <c r="AQ522" s="507" t="str">
        <f t="shared" si="72"/>
        <v>8-3</v>
      </c>
      <c r="AR522" s="509" t="str">
        <f t="shared" si="73"/>
        <v/>
      </c>
      <c r="AS522" s="511" t="str">
        <f t="shared" si="74"/>
        <v/>
      </c>
      <c r="AT522" s="513" t="str">
        <f t="shared" si="75"/>
        <v/>
      </c>
      <c r="AU522" s="515" t="str">
        <f t="shared" si="76"/>
        <v/>
      </c>
      <c r="AV522" s="517" t="str">
        <f t="shared" si="77"/>
        <v/>
      </c>
      <c r="AW522" s="589" t="str">
        <f>IFERROR(VLOOKUP(功能_33[[#This Row],[功能代號]],SIT_FT!D:D,1,FALSE),"")</f>
        <v/>
      </c>
    </row>
    <row r="523" spans="3:49" ht="13.5" hidden="1" x14ac:dyDescent="0.3">
      <c r="C523" s="276" t="s">
        <v>84</v>
      </c>
      <c r="D523" s="276" t="s">
        <v>2494</v>
      </c>
      <c r="E523" s="275" t="s">
        <v>1328</v>
      </c>
      <c r="F523" s="276" t="s">
        <v>1329</v>
      </c>
      <c r="G523" s="276" t="s">
        <v>1119</v>
      </c>
      <c r="H523" s="275" t="s">
        <v>122</v>
      </c>
      <c r="I523" s="275" t="s">
        <v>123</v>
      </c>
      <c r="J523" s="282" t="s">
        <v>2979</v>
      </c>
      <c r="K523" s="283">
        <v>44575</v>
      </c>
      <c r="L523" s="283"/>
      <c r="M523" s="283">
        <v>44518</v>
      </c>
      <c r="N523" s="283">
        <v>44517</v>
      </c>
      <c r="O523" s="283">
        <v>44536</v>
      </c>
      <c r="P523" s="275" t="s">
        <v>7</v>
      </c>
      <c r="Q523" s="275" t="s">
        <v>25</v>
      </c>
      <c r="V523" s="275"/>
      <c r="X523" s="275"/>
      <c r="Y523" s="275"/>
      <c r="Z523" s="276" t="str">
        <f>VLOOKUP(功能_33[[#This Row],[User]],SKL放款!A:G,7,FALSE)</f>
        <v>放款管理課</v>
      </c>
      <c r="AA523" s="283">
        <v>44533</v>
      </c>
      <c r="AB523" s="283" t="s">
        <v>181</v>
      </c>
      <c r="AC523" s="283">
        <v>44540</v>
      </c>
      <c r="AD523" s="283">
        <v>44540</v>
      </c>
      <c r="AE523" s="215" t="s">
        <v>3008</v>
      </c>
      <c r="AF523" s="283"/>
      <c r="AG523" s="283"/>
      <c r="AH523" s="334"/>
      <c r="AI523" s="283">
        <f>IFERROR(IF(VLOOKUP(功能_33[[#This Row],[功能代號]],E:S,11,FALSE)=0,"",VLOOKUP(功能_33[[#This Row],[功能代號]],E:S,11,FALSE)),"")</f>
        <v>44536</v>
      </c>
      <c r="AJ523" s="283"/>
      <c r="AK523" s="283"/>
      <c r="AL523" s="276"/>
      <c r="AN523" s="275" t="s">
        <v>2700</v>
      </c>
      <c r="AO523" s="276" t="s">
        <v>2812</v>
      </c>
      <c r="AQ523" s="507" t="str">
        <f t="shared" si="72"/>
        <v>8-3</v>
      </c>
      <c r="AR523" s="509" t="str">
        <f t="shared" si="73"/>
        <v/>
      </c>
      <c r="AS523" s="511" t="str">
        <f t="shared" si="74"/>
        <v/>
      </c>
      <c r="AT523" s="513" t="str">
        <f t="shared" si="75"/>
        <v/>
      </c>
      <c r="AU523" s="515" t="str">
        <f t="shared" si="76"/>
        <v/>
      </c>
      <c r="AV523" s="517" t="str">
        <f t="shared" si="77"/>
        <v/>
      </c>
      <c r="AW523" s="589" t="str">
        <f>IFERROR(VLOOKUP(功能_33[[#This Row],[功能代號]],SIT_FT!D:D,1,FALSE),"")</f>
        <v/>
      </c>
    </row>
    <row r="524" spans="3:49" ht="13.5" hidden="1" x14ac:dyDescent="0.3">
      <c r="C524" s="276" t="s">
        <v>84</v>
      </c>
      <c r="D524" s="276" t="s">
        <v>2494</v>
      </c>
      <c r="E524" s="275" t="s">
        <v>1330</v>
      </c>
      <c r="F524" s="276" t="s">
        <v>1331</v>
      </c>
      <c r="G524" s="276" t="s">
        <v>1119</v>
      </c>
      <c r="H524" s="275" t="s">
        <v>122</v>
      </c>
      <c r="I524" s="275" t="s">
        <v>123</v>
      </c>
      <c r="J524" s="282" t="s">
        <v>2979</v>
      </c>
      <c r="K524" s="283">
        <v>44575</v>
      </c>
      <c r="L524" s="283"/>
      <c r="M524" s="283">
        <v>44519</v>
      </c>
      <c r="N524" s="283">
        <v>44517</v>
      </c>
      <c r="O524" s="283">
        <v>44536</v>
      </c>
      <c r="P524" s="275" t="s">
        <v>7</v>
      </c>
      <c r="Q524" s="275" t="s">
        <v>25</v>
      </c>
      <c r="V524" s="275"/>
      <c r="X524" s="275"/>
      <c r="Y524" s="275"/>
      <c r="Z524" s="276" t="str">
        <f>VLOOKUP(功能_33[[#This Row],[User]],SKL放款!A:G,7,FALSE)</f>
        <v>放款管理課</v>
      </c>
      <c r="AA524" s="283">
        <v>44533</v>
      </c>
      <c r="AB524" s="283" t="s">
        <v>181</v>
      </c>
      <c r="AC524" s="283">
        <v>44540</v>
      </c>
      <c r="AD524" s="283">
        <v>44540</v>
      </c>
      <c r="AE524" s="215" t="s">
        <v>3008</v>
      </c>
      <c r="AF524" s="283"/>
      <c r="AG524" s="283"/>
      <c r="AH524" s="334"/>
      <c r="AI524" s="283">
        <f>IFERROR(IF(VLOOKUP(功能_33[[#This Row],[功能代號]],E:S,11,FALSE)=0,"",VLOOKUP(功能_33[[#This Row],[功能代號]],E:S,11,FALSE)),"")</f>
        <v>44536</v>
      </c>
      <c r="AJ524" s="283"/>
      <c r="AK524" s="283"/>
      <c r="AL524" s="276"/>
      <c r="AN524" s="275" t="s">
        <v>2700</v>
      </c>
      <c r="AO524" s="276" t="s">
        <v>2812</v>
      </c>
      <c r="AQ524" s="507" t="str">
        <f t="shared" si="72"/>
        <v>8-3</v>
      </c>
      <c r="AR524" s="509" t="str">
        <f t="shared" si="73"/>
        <v/>
      </c>
      <c r="AS524" s="511" t="str">
        <f t="shared" si="74"/>
        <v/>
      </c>
      <c r="AT524" s="513" t="str">
        <f t="shared" si="75"/>
        <v/>
      </c>
      <c r="AU524" s="515" t="str">
        <f t="shared" si="76"/>
        <v/>
      </c>
      <c r="AV524" s="517" t="str">
        <f t="shared" si="77"/>
        <v/>
      </c>
      <c r="AW524" s="589" t="str">
        <f>IFERROR(VLOOKUP(功能_33[[#This Row],[功能代號]],SIT_FT!D:D,1,FALSE),"")</f>
        <v/>
      </c>
    </row>
    <row r="525" spans="3:49" ht="13.5" hidden="1" x14ac:dyDescent="0.3">
      <c r="C525" s="276" t="s">
        <v>84</v>
      </c>
      <c r="D525" s="276" t="s">
        <v>2494</v>
      </c>
      <c r="E525" s="275" t="s">
        <v>1332</v>
      </c>
      <c r="F525" s="276" t="s">
        <v>1333</v>
      </c>
      <c r="G525" s="276" t="s">
        <v>1119</v>
      </c>
      <c r="H525" s="275" t="s">
        <v>122</v>
      </c>
      <c r="I525" s="275" t="s">
        <v>123</v>
      </c>
      <c r="J525" s="282" t="s">
        <v>2979</v>
      </c>
      <c r="K525" s="283">
        <v>44575</v>
      </c>
      <c r="L525" s="283"/>
      <c r="M525" s="283">
        <v>44519</v>
      </c>
      <c r="N525" s="283">
        <v>44517</v>
      </c>
      <c r="O525" s="283">
        <v>44536</v>
      </c>
      <c r="P525" s="275" t="s">
        <v>7</v>
      </c>
      <c r="Q525" s="275" t="s">
        <v>25</v>
      </c>
      <c r="V525" s="275"/>
      <c r="X525" s="275"/>
      <c r="Y525" s="275"/>
      <c r="Z525" s="276" t="str">
        <f>VLOOKUP(功能_33[[#This Row],[User]],SKL放款!A:G,7,FALSE)</f>
        <v>放款管理課</v>
      </c>
      <c r="AA525" s="283">
        <v>44533</v>
      </c>
      <c r="AB525" s="283" t="s">
        <v>181</v>
      </c>
      <c r="AC525" s="283">
        <v>44540</v>
      </c>
      <c r="AD525" s="283">
        <v>44540</v>
      </c>
      <c r="AE525" s="215" t="s">
        <v>3008</v>
      </c>
      <c r="AF525" s="283"/>
      <c r="AG525" s="283"/>
      <c r="AH525" s="334"/>
      <c r="AI525" s="283">
        <f>IFERROR(IF(VLOOKUP(功能_33[[#This Row],[功能代號]],E:S,11,FALSE)=0,"",VLOOKUP(功能_33[[#This Row],[功能代號]],E:S,11,FALSE)),"")</f>
        <v>44536</v>
      </c>
      <c r="AJ525" s="283"/>
      <c r="AK525" s="283"/>
      <c r="AL525" s="276"/>
      <c r="AN525" s="275" t="s">
        <v>2700</v>
      </c>
      <c r="AO525" s="276" t="s">
        <v>2812</v>
      </c>
      <c r="AQ525" s="507" t="str">
        <f t="shared" si="72"/>
        <v>8-3</v>
      </c>
      <c r="AR525" s="509" t="str">
        <f t="shared" si="73"/>
        <v/>
      </c>
      <c r="AS525" s="511" t="str">
        <f t="shared" si="74"/>
        <v/>
      </c>
      <c r="AT525" s="513" t="str">
        <f t="shared" si="75"/>
        <v/>
      </c>
      <c r="AU525" s="515" t="str">
        <f t="shared" si="76"/>
        <v/>
      </c>
      <c r="AV525" s="517" t="str">
        <f t="shared" si="77"/>
        <v/>
      </c>
      <c r="AW525" s="589" t="str">
        <f>IFERROR(VLOOKUP(功能_33[[#This Row],[功能代號]],SIT_FT!D:D,1,FALSE),"")</f>
        <v/>
      </c>
    </row>
    <row r="526" spans="3:49" ht="13.5" hidden="1" x14ac:dyDescent="0.3">
      <c r="C526" s="276" t="s">
        <v>84</v>
      </c>
      <c r="D526" s="276" t="s">
        <v>2494</v>
      </c>
      <c r="E526" s="275" t="s">
        <v>1334</v>
      </c>
      <c r="F526" s="276" t="s">
        <v>1335</v>
      </c>
      <c r="G526" s="276" t="s">
        <v>1119</v>
      </c>
      <c r="H526" s="275" t="s">
        <v>122</v>
      </c>
      <c r="I526" s="275" t="s">
        <v>123</v>
      </c>
      <c r="J526" s="282" t="s">
        <v>2979</v>
      </c>
      <c r="K526" s="283">
        <v>44575</v>
      </c>
      <c r="L526" s="283"/>
      <c r="M526" s="283">
        <v>44519</v>
      </c>
      <c r="N526" s="283">
        <v>44517</v>
      </c>
      <c r="O526" s="283">
        <v>44536</v>
      </c>
      <c r="P526" s="275" t="s">
        <v>7</v>
      </c>
      <c r="Q526" s="275" t="s">
        <v>25</v>
      </c>
      <c r="V526" s="275"/>
      <c r="X526" s="275"/>
      <c r="Y526" s="275"/>
      <c r="Z526" s="276" t="str">
        <f>VLOOKUP(功能_33[[#This Row],[User]],SKL放款!A:G,7,FALSE)</f>
        <v>放款管理課</v>
      </c>
      <c r="AA526" s="283">
        <v>44533</v>
      </c>
      <c r="AB526" s="283" t="s">
        <v>181</v>
      </c>
      <c r="AC526" s="283">
        <v>44540</v>
      </c>
      <c r="AD526" s="283">
        <v>44540</v>
      </c>
      <c r="AE526" s="215" t="s">
        <v>3008</v>
      </c>
      <c r="AF526" s="283"/>
      <c r="AG526" s="283"/>
      <c r="AH526" s="334"/>
      <c r="AI526" s="283">
        <f>IFERROR(IF(VLOOKUP(功能_33[[#This Row],[功能代號]],E:S,11,FALSE)=0,"",VLOOKUP(功能_33[[#This Row],[功能代號]],E:S,11,FALSE)),"")</f>
        <v>44536</v>
      </c>
      <c r="AJ526" s="283"/>
      <c r="AK526" s="283"/>
      <c r="AL526" s="276"/>
      <c r="AN526" s="275" t="s">
        <v>2700</v>
      </c>
      <c r="AO526" s="276" t="s">
        <v>2812</v>
      </c>
      <c r="AQ526" s="507" t="str">
        <f t="shared" si="72"/>
        <v>8-3</v>
      </c>
      <c r="AR526" s="509" t="str">
        <f t="shared" si="73"/>
        <v/>
      </c>
      <c r="AS526" s="511" t="str">
        <f t="shared" si="74"/>
        <v/>
      </c>
      <c r="AT526" s="513" t="str">
        <f t="shared" si="75"/>
        <v/>
      </c>
      <c r="AU526" s="515" t="str">
        <f t="shared" si="76"/>
        <v/>
      </c>
      <c r="AV526" s="517" t="str">
        <f t="shared" si="77"/>
        <v/>
      </c>
      <c r="AW526" s="589" t="str">
        <f>IFERROR(VLOOKUP(功能_33[[#This Row],[功能代號]],SIT_FT!D:D,1,FALSE),"")</f>
        <v/>
      </c>
    </row>
    <row r="527" spans="3:49" ht="13.5" hidden="1" x14ac:dyDescent="0.3">
      <c r="C527" s="276" t="s">
        <v>84</v>
      </c>
      <c r="D527" s="276" t="s">
        <v>2494</v>
      </c>
      <c r="E527" s="275" t="s">
        <v>1336</v>
      </c>
      <c r="F527" s="276" t="s">
        <v>1337</v>
      </c>
      <c r="G527" s="276" t="s">
        <v>1119</v>
      </c>
      <c r="H527" s="275" t="s">
        <v>122</v>
      </c>
      <c r="I527" s="275" t="s">
        <v>123</v>
      </c>
      <c r="J527" s="282" t="s">
        <v>2979</v>
      </c>
      <c r="K527" s="283">
        <v>44575</v>
      </c>
      <c r="L527" s="283"/>
      <c r="M527" s="283">
        <v>44519</v>
      </c>
      <c r="N527" s="283">
        <v>44517</v>
      </c>
      <c r="O527" s="283">
        <v>44536</v>
      </c>
      <c r="P527" s="275" t="s">
        <v>7</v>
      </c>
      <c r="Q527" s="275" t="s">
        <v>25</v>
      </c>
      <c r="V527" s="275"/>
      <c r="X527" s="275"/>
      <c r="Y527" s="275"/>
      <c r="Z527" s="276" t="str">
        <f>VLOOKUP(功能_33[[#This Row],[User]],SKL放款!A:G,7,FALSE)</f>
        <v>放款管理課</v>
      </c>
      <c r="AA527" s="283">
        <v>44533</v>
      </c>
      <c r="AB527" s="283" t="s">
        <v>181</v>
      </c>
      <c r="AC527" s="283">
        <v>44540</v>
      </c>
      <c r="AD527" s="283">
        <v>44540</v>
      </c>
      <c r="AE527" s="215" t="s">
        <v>3008</v>
      </c>
      <c r="AF527" s="283"/>
      <c r="AG527" s="283"/>
      <c r="AH527" s="334"/>
      <c r="AI527" s="283">
        <f>IFERROR(IF(VLOOKUP(功能_33[[#This Row],[功能代號]],E:S,11,FALSE)=0,"",VLOOKUP(功能_33[[#This Row],[功能代號]],E:S,11,FALSE)),"")</f>
        <v>44536</v>
      </c>
      <c r="AJ527" s="283"/>
      <c r="AK527" s="283"/>
      <c r="AL527" s="276"/>
      <c r="AN527" s="275" t="s">
        <v>2700</v>
      </c>
      <c r="AO527" s="276" t="s">
        <v>2812</v>
      </c>
      <c r="AQ527" s="507" t="str">
        <f t="shared" si="72"/>
        <v>8-3</v>
      </c>
      <c r="AR527" s="509" t="str">
        <f t="shared" si="73"/>
        <v/>
      </c>
      <c r="AS527" s="511" t="str">
        <f t="shared" si="74"/>
        <v/>
      </c>
      <c r="AT527" s="513" t="str">
        <f t="shared" si="75"/>
        <v/>
      </c>
      <c r="AU527" s="515" t="str">
        <f t="shared" si="76"/>
        <v/>
      </c>
      <c r="AV527" s="517" t="str">
        <f t="shared" si="77"/>
        <v/>
      </c>
      <c r="AW527" s="589" t="str">
        <f>IFERROR(VLOOKUP(功能_33[[#This Row],[功能代號]],SIT_FT!D:D,1,FALSE),"")</f>
        <v/>
      </c>
    </row>
    <row r="528" spans="3:49" ht="13.5" hidden="1" x14ac:dyDescent="0.3">
      <c r="C528" s="276" t="s">
        <v>84</v>
      </c>
      <c r="D528" s="276" t="s">
        <v>2494</v>
      </c>
      <c r="E528" s="275" t="s">
        <v>1338</v>
      </c>
      <c r="F528" s="276" t="s">
        <v>1339</v>
      </c>
      <c r="G528" s="276" t="s">
        <v>1119</v>
      </c>
      <c r="H528" s="275" t="s">
        <v>122</v>
      </c>
      <c r="I528" s="275" t="s">
        <v>123</v>
      </c>
      <c r="J528" s="282" t="s">
        <v>2979</v>
      </c>
      <c r="K528" s="283">
        <v>44575</v>
      </c>
      <c r="L528" s="283"/>
      <c r="M528" s="283">
        <v>44519</v>
      </c>
      <c r="N528" s="283">
        <v>44517</v>
      </c>
      <c r="O528" s="283">
        <v>44536</v>
      </c>
      <c r="P528" s="275" t="s">
        <v>7</v>
      </c>
      <c r="Q528" s="275" t="s">
        <v>25</v>
      </c>
      <c r="V528" s="275"/>
      <c r="X528" s="275"/>
      <c r="Y528" s="275"/>
      <c r="Z528" s="276" t="str">
        <f>VLOOKUP(功能_33[[#This Row],[User]],SKL放款!A:G,7,FALSE)</f>
        <v>放款管理課</v>
      </c>
      <c r="AA528" s="283">
        <v>44533</v>
      </c>
      <c r="AB528" s="283" t="s">
        <v>181</v>
      </c>
      <c r="AC528" s="283">
        <v>44540</v>
      </c>
      <c r="AD528" s="283">
        <v>44540</v>
      </c>
      <c r="AE528" s="215" t="s">
        <v>3008</v>
      </c>
      <c r="AF528" s="283"/>
      <c r="AG528" s="283"/>
      <c r="AH528" s="334"/>
      <c r="AI528" s="283">
        <f>IFERROR(IF(VLOOKUP(功能_33[[#This Row],[功能代號]],E:S,11,FALSE)=0,"",VLOOKUP(功能_33[[#This Row],[功能代號]],E:S,11,FALSE)),"")</f>
        <v>44536</v>
      </c>
      <c r="AJ528" s="283"/>
      <c r="AK528" s="283"/>
      <c r="AL528" s="276"/>
      <c r="AN528" s="275" t="s">
        <v>2700</v>
      </c>
      <c r="AO528" s="276" t="s">
        <v>2812</v>
      </c>
      <c r="AQ528" s="507" t="str">
        <f t="shared" si="72"/>
        <v>8-3</v>
      </c>
      <c r="AR528" s="509" t="str">
        <f t="shared" si="73"/>
        <v/>
      </c>
      <c r="AS528" s="511" t="str">
        <f t="shared" si="74"/>
        <v/>
      </c>
      <c r="AT528" s="513" t="str">
        <f t="shared" si="75"/>
        <v/>
      </c>
      <c r="AU528" s="515" t="str">
        <f t="shared" si="76"/>
        <v/>
      </c>
      <c r="AV528" s="517" t="str">
        <f t="shared" si="77"/>
        <v/>
      </c>
      <c r="AW528" s="589" t="str">
        <f>IFERROR(VLOOKUP(功能_33[[#This Row],[功能代號]],SIT_FT!D:D,1,FALSE),"")</f>
        <v/>
      </c>
    </row>
    <row r="529" spans="1:49" ht="13.5" hidden="1" x14ac:dyDescent="0.3">
      <c r="C529" s="276" t="s">
        <v>84</v>
      </c>
      <c r="D529" s="276" t="s">
        <v>2494</v>
      </c>
      <c r="E529" s="275" t="s">
        <v>1340</v>
      </c>
      <c r="F529" s="276" t="s">
        <v>1341</v>
      </c>
      <c r="G529" s="276" t="s">
        <v>1119</v>
      </c>
      <c r="H529" s="275" t="s">
        <v>122</v>
      </c>
      <c r="I529" s="275" t="s">
        <v>123</v>
      </c>
      <c r="J529" s="282" t="s">
        <v>2979</v>
      </c>
      <c r="K529" s="283">
        <v>44575</v>
      </c>
      <c r="L529" s="283"/>
      <c r="M529" s="283">
        <v>44519</v>
      </c>
      <c r="N529" s="283">
        <v>44517</v>
      </c>
      <c r="O529" s="283">
        <v>44536</v>
      </c>
      <c r="P529" s="275" t="s">
        <v>7</v>
      </c>
      <c r="Q529" s="275" t="s">
        <v>25</v>
      </c>
      <c r="V529" s="275"/>
      <c r="X529" s="275"/>
      <c r="Y529" s="275"/>
      <c r="Z529" s="276" t="str">
        <f>VLOOKUP(功能_33[[#This Row],[User]],SKL放款!A:G,7,FALSE)</f>
        <v>放款管理課</v>
      </c>
      <c r="AA529" s="283">
        <v>44533</v>
      </c>
      <c r="AB529" s="283" t="s">
        <v>181</v>
      </c>
      <c r="AC529" s="283">
        <v>44540</v>
      </c>
      <c r="AD529" s="283">
        <v>44540</v>
      </c>
      <c r="AE529" s="215" t="s">
        <v>3008</v>
      </c>
      <c r="AF529" s="283"/>
      <c r="AG529" s="283"/>
      <c r="AH529" s="334"/>
      <c r="AI529" s="283">
        <f>IFERROR(IF(VLOOKUP(功能_33[[#This Row],[功能代號]],E:S,11,FALSE)=0,"",VLOOKUP(功能_33[[#This Row],[功能代號]],E:S,11,FALSE)),"")</f>
        <v>44536</v>
      </c>
      <c r="AJ529" s="283"/>
      <c r="AK529" s="283"/>
      <c r="AL529" s="276"/>
      <c r="AN529" s="275" t="s">
        <v>2700</v>
      </c>
      <c r="AO529" s="276" t="s">
        <v>2812</v>
      </c>
      <c r="AQ529" s="507" t="str">
        <f t="shared" si="72"/>
        <v>8-3</v>
      </c>
      <c r="AR529" s="509" t="str">
        <f t="shared" si="73"/>
        <v/>
      </c>
      <c r="AS529" s="511" t="str">
        <f t="shared" si="74"/>
        <v/>
      </c>
      <c r="AT529" s="513" t="str">
        <f t="shared" si="75"/>
        <v/>
      </c>
      <c r="AU529" s="515" t="str">
        <f t="shared" si="76"/>
        <v/>
      </c>
      <c r="AV529" s="517" t="str">
        <f t="shared" si="77"/>
        <v/>
      </c>
      <c r="AW529" s="589" t="str">
        <f>IFERROR(VLOOKUP(功能_33[[#This Row],[功能代號]],SIT_FT!D:D,1,FALSE),"")</f>
        <v/>
      </c>
    </row>
    <row r="530" spans="1:49" ht="13.5" hidden="1" x14ac:dyDescent="0.3">
      <c r="C530" s="276" t="s">
        <v>84</v>
      </c>
      <c r="D530" s="276" t="s">
        <v>2495</v>
      </c>
      <c r="E530" s="275" t="s">
        <v>1342</v>
      </c>
      <c r="F530" s="276" t="s">
        <v>1343</v>
      </c>
      <c r="G530" s="276" t="s">
        <v>1344</v>
      </c>
      <c r="H530" s="275" t="s">
        <v>122</v>
      </c>
      <c r="I530" s="275" t="s">
        <v>123</v>
      </c>
      <c r="J530" s="282" t="s">
        <v>2791</v>
      </c>
      <c r="K530" s="283">
        <v>44575</v>
      </c>
      <c r="L530" s="283"/>
      <c r="M530" s="283">
        <v>44524</v>
      </c>
      <c r="N530" s="283">
        <v>44525</v>
      </c>
      <c r="O530" s="283">
        <v>44533</v>
      </c>
      <c r="P530" s="275" t="str">
        <f>VLOOKUP(功能_33[[#This Row],[功能代號]],[5]外部輸出入介面!$C:$F,4,FALSE)</f>
        <v>林清河</v>
      </c>
      <c r="Q530" s="275" t="s">
        <v>21</v>
      </c>
      <c r="R530" s="275"/>
      <c r="V530" s="275"/>
      <c r="X530" s="275"/>
      <c r="Y530" s="275"/>
      <c r="Z530" s="276" t="str">
        <f>VLOOKUP(功能_33[[#This Row],[User]],SKL放款!A:G,7,FALSE)</f>
        <v>放款管理課</v>
      </c>
      <c r="AA530" s="283">
        <v>44533</v>
      </c>
      <c r="AB530" s="283" t="s">
        <v>119</v>
      </c>
      <c r="AC530" s="283">
        <v>44540</v>
      </c>
      <c r="AD530" s="283">
        <v>44540</v>
      </c>
      <c r="AE530" s="283">
        <v>44544</v>
      </c>
      <c r="AF530" s="283"/>
      <c r="AG530" s="283"/>
      <c r="AH530" s="283"/>
      <c r="AI530" s="283">
        <f>IFERROR(IF(VLOOKUP(功能_33[[#This Row],[功能代號]],E:S,11,FALSE)=0,"",VLOOKUP(功能_33[[#This Row],[功能代號]],E:S,11,FALSE)),"")</f>
        <v>44533</v>
      </c>
      <c r="AJ530" s="283"/>
      <c r="AK530" s="283"/>
      <c r="AL530" s="276"/>
      <c r="AN530" s="275" t="s">
        <v>2700</v>
      </c>
      <c r="AO530" s="276" t="s">
        <v>2785</v>
      </c>
      <c r="AQ530" s="507" t="str">
        <f t="shared" si="72"/>
        <v>8-5</v>
      </c>
      <c r="AR530" s="509" t="str">
        <f t="shared" si="73"/>
        <v/>
      </c>
      <c r="AS530" s="511" t="str">
        <f t="shared" si="74"/>
        <v/>
      </c>
      <c r="AT530" s="513" t="str">
        <f t="shared" si="75"/>
        <v/>
      </c>
      <c r="AU530" s="515" t="str">
        <f t="shared" si="76"/>
        <v/>
      </c>
      <c r="AV530" s="517" t="str">
        <f t="shared" si="77"/>
        <v/>
      </c>
      <c r="AW530" s="589" t="str">
        <f>IFERROR(VLOOKUP(功能_33[[#This Row],[功能代號]],SIT_FT!D:D,1,FALSE),"")</f>
        <v/>
      </c>
    </row>
    <row r="531" spans="1:49" ht="13.5" hidden="1" x14ac:dyDescent="0.3">
      <c r="C531" s="276" t="s">
        <v>84</v>
      </c>
      <c r="D531" s="276" t="s">
        <v>2495</v>
      </c>
      <c r="E531" s="275" t="s">
        <v>1345</v>
      </c>
      <c r="F531" s="276" t="s">
        <v>1346</v>
      </c>
      <c r="G531" s="276" t="s">
        <v>1344</v>
      </c>
      <c r="H531" s="275" t="s">
        <v>122</v>
      </c>
      <c r="I531" s="275" t="s">
        <v>123</v>
      </c>
      <c r="J531" s="282" t="s">
        <v>2791</v>
      </c>
      <c r="K531" s="283">
        <v>44575</v>
      </c>
      <c r="L531" s="283"/>
      <c r="M531" s="283">
        <v>44524</v>
      </c>
      <c r="N531" s="283">
        <v>44525</v>
      </c>
      <c r="O531" s="283">
        <v>44533</v>
      </c>
      <c r="P531" s="275" t="str">
        <f>VLOOKUP(功能_33[[#This Row],[功能代號]],[5]外部輸出入介面!$C:$F,4,FALSE)</f>
        <v>林清河</v>
      </c>
      <c r="Q531" s="275" t="s">
        <v>21</v>
      </c>
      <c r="R531" s="275"/>
      <c r="V531" s="275"/>
      <c r="X531" s="275"/>
      <c r="Y531" s="275"/>
      <c r="Z531" s="276" t="str">
        <f>VLOOKUP(功能_33[[#This Row],[User]],SKL放款!A:G,7,FALSE)</f>
        <v>放款管理課</v>
      </c>
      <c r="AA531" s="283">
        <v>44533</v>
      </c>
      <c r="AB531" s="283" t="s">
        <v>119</v>
      </c>
      <c r="AC531" s="283">
        <v>44540</v>
      </c>
      <c r="AD531" s="283">
        <v>44540</v>
      </c>
      <c r="AE531" s="283">
        <v>44544</v>
      </c>
      <c r="AF531" s="283"/>
      <c r="AG531" s="283"/>
      <c r="AH531" s="283"/>
      <c r="AI531" s="283">
        <f>IFERROR(IF(VLOOKUP(功能_33[[#This Row],[功能代號]],E:S,11,FALSE)=0,"",VLOOKUP(功能_33[[#This Row],[功能代號]],E:S,11,FALSE)),"")</f>
        <v>44533</v>
      </c>
      <c r="AJ531" s="283"/>
      <c r="AK531" s="283"/>
      <c r="AL531" s="276"/>
      <c r="AN531" s="275" t="s">
        <v>2700</v>
      </c>
      <c r="AO531" s="276" t="s">
        <v>2785</v>
      </c>
      <c r="AQ531" s="507" t="str">
        <f t="shared" si="72"/>
        <v>8-5</v>
      </c>
      <c r="AR531" s="509" t="str">
        <f t="shared" si="73"/>
        <v/>
      </c>
      <c r="AS531" s="511" t="str">
        <f t="shared" si="74"/>
        <v/>
      </c>
      <c r="AT531" s="513" t="str">
        <f t="shared" si="75"/>
        <v/>
      </c>
      <c r="AU531" s="515" t="str">
        <f t="shared" si="76"/>
        <v/>
      </c>
      <c r="AV531" s="517" t="str">
        <f t="shared" si="77"/>
        <v/>
      </c>
      <c r="AW531" s="589" t="str">
        <f>IFERROR(VLOOKUP(功能_33[[#This Row],[功能代號]],SIT_FT!D:D,1,FALSE),"")</f>
        <v/>
      </c>
    </row>
    <row r="532" spans="1:49" ht="13.5" hidden="1" x14ac:dyDescent="0.3">
      <c r="C532" s="276" t="s">
        <v>84</v>
      </c>
      <c r="D532" s="276" t="s">
        <v>2495</v>
      </c>
      <c r="E532" s="275" t="s">
        <v>1347</v>
      </c>
      <c r="F532" s="276" t="s">
        <v>1348</v>
      </c>
      <c r="G532" s="276" t="s">
        <v>1344</v>
      </c>
      <c r="H532" s="275" t="s">
        <v>122</v>
      </c>
      <c r="I532" s="275" t="s">
        <v>123</v>
      </c>
      <c r="J532" s="282" t="s">
        <v>2980</v>
      </c>
      <c r="K532" s="283">
        <v>44575</v>
      </c>
      <c r="L532" s="283"/>
      <c r="M532" s="283">
        <v>44524</v>
      </c>
      <c r="N532" s="283">
        <v>44525</v>
      </c>
      <c r="O532" s="283">
        <v>44533</v>
      </c>
      <c r="P532" s="275" t="s">
        <v>7</v>
      </c>
      <c r="Q532" s="275" t="s">
        <v>25</v>
      </c>
      <c r="R532" s="275" t="s">
        <v>21</v>
      </c>
      <c r="V532" s="275"/>
      <c r="X532" s="275"/>
      <c r="Y532" s="275"/>
      <c r="Z532" s="276" t="str">
        <f>VLOOKUP(功能_33[[#This Row],[User]],SKL放款!A:G,7,FALSE)</f>
        <v>放款管理課</v>
      </c>
      <c r="AA532" s="283">
        <v>44533</v>
      </c>
      <c r="AB532" s="283" t="s">
        <v>119</v>
      </c>
      <c r="AC532" s="283">
        <v>44540</v>
      </c>
      <c r="AD532" s="283">
        <v>44540</v>
      </c>
      <c r="AE532" s="215" t="s">
        <v>3002</v>
      </c>
      <c r="AF532" s="283"/>
      <c r="AG532" s="283"/>
      <c r="AH532" s="283"/>
      <c r="AI532" s="283">
        <f>IFERROR(IF(VLOOKUP(功能_33[[#This Row],[功能代號]],E:S,11,FALSE)=0,"",VLOOKUP(功能_33[[#This Row],[功能代號]],E:S,11,FALSE)),"")</f>
        <v>44533</v>
      </c>
      <c r="AJ532" s="283"/>
      <c r="AK532" s="283"/>
      <c r="AL532" s="276"/>
      <c r="AN532" s="275" t="s">
        <v>2700</v>
      </c>
      <c r="AO532" s="276" t="s">
        <v>2786</v>
      </c>
      <c r="AQ532" s="507" t="str">
        <f t="shared" si="72"/>
        <v>8-5</v>
      </c>
      <c r="AR532" s="509" t="str">
        <f t="shared" si="73"/>
        <v/>
      </c>
      <c r="AS532" s="511" t="str">
        <f t="shared" si="74"/>
        <v/>
      </c>
      <c r="AT532" s="513" t="str">
        <f t="shared" si="75"/>
        <v/>
      </c>
      <c r="AU532" s="515" t="str">
        <f t="shared" si="76"/>
        <v/>
      </c>
      <c r="AV532" s="517" t="str">
        <f t="shared" si="77"/>
        <v/>
      </c>
      <c r="AW532" s="589" t="str">
        <f>IFERROR(VLOOKUP(功能_33[[#This Row],[功能代號]],SIT_FT!D:D,1,FALSE),"")</f>
        <v/>
      </c>
    </row>
    <row r="533" spans="1:49" ht="30" hidden="1" x14ac:dyDescent="0.3">
      <c r="C533" s="276" t="s">
        <v>84</v>
      </c>
      <c r="D533" s="276" t="s">
        <v>2487</v>
      </c>
      <c r="E533" s="275" t="s">
        <v>1349</v>
      </c>
      <c r="F533" s="276" t="s">
        <v>1350</v>
      </c>
      <c r="G533" s="276" t="s">
        <v>1351</v>
      </c>
      <c r="H533" s="275" t="s">
        <v>466</v>
      </c>
      <c r="I533" s="275" t="s">
        <v>466</v>
      </c>
      <c r="J533" s="282" t="s">
        <v>2791</v>
      </c>
      <c r="K533" s="283">
        <v>44589</v>
      </c>
      <c r="L533" s="283"/>
      <c r="M533" s="283">
        <v>44524</v>
      </c>
      <c r="N533" s="283">
        <v>44525</v>
      </c>
      <c r="O533" s="283">
        <v>44529</v>
      </c>
      <c r="P533" s="275" t="str">
        <f>VLOOKUP(功能_33[[#This Row],[功能代號]],[5]外部輸出入介面!$C:$F,4,FALSE)</f>
        <v>林清河</v>
      </c>
      <c r="Q533" s="275" t="s">
        <v>553</v>
      </c>
      <c r="V533" s="275"/>
      <c r="X533" s="275"/>
      <c r="Y533" s="275"/>
      <c r="Z533" s="276" t="str">
        <f>VLOOKUP(功能_33[[#This Row],[User]],SKL放款!A:G,7,FALSE)</f>
        <v>放款審查課</v>
      </c>
      <c r="AA533" s="283">
        <v>44529</v>
      </c>
      <c r="AB533" s="283" t="s">
        <v>119</v>
      </c>
      <c r="AC533" s="268">
        <v>44544</v>
      </c>
      <c r="AD533" s="283">
        <v>44544</v>
      </c>
      <c r="AE533" s="283">
        <v>44544</v>
      </c>
      <c r="AF533" s="283"/>
      <c r="AG533" s="283"/>
      <c r="AH533" s="283"/>
      <c r="AI533" s="283">
        <f>IFERROR(IF(VLOOKUP(功能_33[[#This Row],[功能代號]],E:S,11,FALSE)=0,"",VLOOKUP(功能_33[[#This Row],[功能代號]],E:S,11,FALSE)),"")</f>
        <v>44529</v>
      </c>
      <c r="AJ533" s="283"/>
      <c r="AK533" s="283"/>
      <c r="AL533" s="276"/>
      <c r="AN533" s="292" t="s">
        <v>2796</v>
      </c>
      <c r="AO533" s="559" t="s">
        <v>2792</v>
      </c>
      <c r="AQ533" s="507" t="str">
        <f t="shared" si="72"/>
        <v>8-4</v>
      </c>
      <c r="AR533" s="509" t="str">
        <f t="shared" si="73"/>
        <v/>
      </c>
      <c r="AS533" s="511" t="str">
        <f t="shared" si="74"/>
        <v/>
      </c>
      <c r="AT533" s="513" t="str">
        <f t="shared" si="75"/>
        <v/>
      </c>
      <c r="AU533" s="515" t="str">
        <f t="shared" si="76"/>
        <v/>
      </c>
      <c r="AV533" s="517" t="str">
        <f t="shared" si="77"/>
        <v/>
      </c>
      <c r="AW533" s="589" t="str">
        <f>IFERROR(VLOOKUP(功能_33[[#This Row],[功能代號]],SIT_FT!D:D,1,FALSE),"")</f>
        <v/>
      </c>
    </row>
    <row r="534" spans="1:49" ht="102.5" hidden="1" customHeight="1" x14ac:dyDescent="0.3">
      <c r="C534" s="276" t="s">
        <v>84</v>
      </c>
      <c r="D534" s="276" t="s">
        <v>2487</v>
      </c>
      <c r="E534" s="275" t="s">
        <v>1352</v>
      </c>
      <c r="F534" s="276" t="s">
        <v>1353</v>
      </c>
      <c r="G534" s="212" t="s">
        <v>2410</v>
      </c>
      <c r="H534" s="275" t="s">
        <v>466</v>
      </c>
      <c r="I534" s="275" t="s">
        <v>466</v>
      </c>
      <c r="J534" s="282" t="s">
        <v>2791</v>
      </c>
      <c r="K534" s="283">
        <v>44589</v>
      </c>
      <c r="L534" s="283"/>
      <c r="M534" s="283">
        <v>44524</v>
      </c>
      <c r="N534" s="283">
        <v>44525</v>
      </c>
      <c r="O534" s="283">
        <v>44529</v>
      </c>
      <c r="P534" s="275" t="str">
        <f>VLOOKUP(功能_33[[#This Row],[功能代號]],[5]外部輸出入介面!$C:$F,4,FALSE)</f>
        <v>林清河</v>
      </c>
      <c r="Q534" s="275" t="s">
        <v>553</v>
      </c>
      <c r="V534" s="275"/>
      <c r="X534" s="275"/>
      <c r="Y534" s="275"/>
      <c r="Z534" s="276" t="str">
        <f>VLOOKUP(功能_33[[#This Row],[User]],SKL放款!A:G,7,FALSE)</f>
        <v>放款審查課</v>
      </c>
      <c r="AA534" s="283">
        <v>44529</v>
      </c>
      <c r="AB534" s="283" t="s">
        <v>119</v>
      </c>
      <c r="AC534" s="268">
        <v>44544</v>
      </c>
      <c r="AD534" s="283">
        <v>44544</v>
      </c>
      <c r="AE534" s="283">
        <v>44544</v>
      </c>
      <c r="AF534" s="283"/>
      <c r="AG534" s="283"/>
      <c r="AH534" s="283"/>
      <c r="AI534" s="283">
        <f>IFERROR(IF(VLOOKUP(功能_33[[#This Row],[功能代號]],E:S,11,FALSE)=0,"",VLOOKUP(功能_33[[#This Row],[功能代號]],E:S,11,FALSE)),"")</f>
        <v>44529</v>
      </c>
      <c r="AJ534" s="283"/>
      <c r="AK534" s="283"/>
      <c r="AL534" s="276"/>
      <c r="AN534" s="292" t="s">
        <v>2795</v>
      </c>
      <c r="AO534" s="559" t="s">
        <v>2793</v>
      </c>
      <c r="AQ534" s="507" t="str">
        <f t="shared" si="72"/>
        <v>8-4</v>
      </c>
      <c r="AR534" s="509" t="str">
        <f t="shared" si="73"/>
        <v/>
      </c>
      <c r="AS534" s="511" t="str">
        <f t="shared" si="74"/>
        <v/>
      </c>
      <c r="AT534" s="513" t="str">
        <f t="shared" si="75"/>
        <v/>
      </c>
      <c r="AU534" s="515" t="str">
        <f t="shared" si="76"/>
        <v/>
      </c>
      <c r="AV534" s="517" t="str">
        <f t="shared" si="77"/>
        <v/>
      </c>
      <c r="AW534" s="589" t="str">
        <f>IFERROR(VLOOKUP(功能_33[[#This Row],[功能代號]],SIT_FT!D:D,1,FALSE),"")</f>
        <v/>
      </c>
    </row>
    <row r="535" spans="1:49" ht="27" hidden="1" x14ac:dyDescent="0.3">
      <c r="C535" s="276" t="s">
        <v>83</v>
      </c>
      <c r="D535" s="266" t="s">
        <v>2488</v>
      </c>
      <c r="E535" s="275" t="s">
        <v>1354</v>
      </c>
      <c r="F535" s="276" t="s">
        <v>1355</v>
      </c>
      <c r="G535" s="276" t="s">
        <v>1356</v>
      </c>
      <c r="H535" s="275" t="s">
        <v>466</v>
      </c>
      <c r="I535" s="275" t="s">
        <v>466</v>
      </c>
      <c r="J535" s="282" t="s">
        <v>2862</v>
      </c>
      <c r="K535" s="283">
        <v>44585</v>
      </c>
      <c r="L535" s="283"/>
      <c r="M535" s="283">
        <v>44530</v>
      </c>
      <c r="N535" s="283">
        <v>44530</v>
      </c>
      <c r="O535" s="283">
        <v>44536</v>
      </c>
      <c r="P535" s="275" t="str">
        <f>VLOOKUP(功能_33[[#This Row],[功能代號]],[5]外部輸出入介面!$C:$F,4,FALSE)</f>
        <v>林清河</v>
      </c>
      <c r="Q535" s="275" t="str">
        <f>VLOOKUP(功能_33[[#This Row],[功能代號]],[5]外部輸出入介面!$C:$F,3,FALSE)</f>
        <v>張舜雯</v>
      </c>
      <c r="V535" s="275"/>
      <c r="X535" s="275"/>
      <c r="Y535" s="275"/>
      <c r="Z535" s="276" t="str">
        <f>VLOOKUP(功能_33[[#This Row],[User]],SKL放款!A:G,7,FALSE)</f>
        <v>放款管理課</v>
      </c>
      <c r="AA535" s="283">
        <v>44536</v>
      </c>
      <c r="AB535" s="283"/>
      <c r="AC535" s="283">
        <v>44546</v>
      </c>
      <c r="AD535" s="283">
        <v>44546</v>
      </c>
      <c r="AE535" s="283">
        <v>44546</v>
      </c>
      <c r="AF535" s="283"/>
      <c r="AG535" s="283"/>
      <c r="AH535" s="283"/>
      <c r="AI535" s="283">
        <f>IFERROR(IF(VLOOKUP(功能_33[[#This Row],[功能代號]],E:S,11,FALSE)=0,"",VLOOKUP(功能_33[[#This Row],[功能代號]],E:S,11,FALSE)),"")</f>
        <v>44536</v>
      </c>
      <c r="AJ535" s="283"/>
      <c r="AK535" s="283"/>
      <c r="AL535" s="276"/>
      <c r="AN535" s="292" t="s">
        <v>2411</v>
      </c>
      <c r="AO535" s="276" t="s">
        <v>2412</v>
      </c>
      <c r="AQ535" s="507" t="str">
        <f t="shared" si="72"/>
        <v>7-2</v>
      </c>
      <c r="AR535" s="509" t="str">
        <f t="shared" si="73"/>
        <v/>
      </c>
      <c r="AS535" s="511" t="str">
        <f t="shared" si="74"/>
        <v/>
      </c>
      <c r="AT535" s="513" t="str">
        <f t="shared" si="75"/>
        <v/>
      </c>
      <c r="AU535" s="515" t="str">
        <f t="shared" si="76"/>
        <v/>
      </c>
      <c r="AV535" s="517" t="str">
        <f t="shared" si="77"/>
        <v/>
      </c>
      <c r="AW535" s="589" t="str">
        <f>IFERROR(VLOOKUP(功能_33[[#This Row],[功能代號]],SIT_FT!D:D,1,FALSE),"")</f>
        <v/>
      </c>
    </row>
    <row r="536" spans="1:49" ht="27" hidden="1" x14ac:dyDescent="0.3">
      <c r="C536" s="276" t="s">
        <v>83</v>
      </c>
      <c r="D536" s="266" t="s">
        <v>2488</v>
      </c>
      <c r="E536" s="275" t="s">
        <v>1357</v>
      </c>
      <c r="F536" s="276" t="s">
        <v>1358</v>
      </c>
      <c r="G536" s="276" t="s">
        <v>1356</v>
      </c>
      <c r="H536" s="275" t="s">
        <v>466</v>
      </c>
      <c r="I536" s="275" t="s">
        <v>466</v>
      </c>
      <c r="J536" s="282" t="s">
        <v>2862</v>
      </c>
      <c r="K536" s="283">
        <v>44585</v>
      </c>
      <c r="L536" s="283"/>
      <c r="M536" s="283">
        <v>44530</v>
      </c>
      <c r="N536" s="283">
        <v>44530</v>
      </c>
      <c r="O536" s="283">
        <v>44536</v>
      </c>
      <c r="P536" s="275" t="str">
        <f>VLOOKUP(功能_33[[#This Row],[功能代號]],[5]外部輸出入介面!$C:$F,4,FALSE)</f>
        <v>林清河</v>
      </c>
      <c r="Q536" s="275" t="str">
        <f>VLOOKUP(功能_33[[#This Row],[功能代號]],[5]外部輸出入介面!$C:$F,3,FALSE)</f>
        <v>張舜雯</v>
      </c>
      <c r="V536" s="275"/>
      <c r="X536" s="275"/>
      <c r="Y536" s="275"/>
      <c r="Z536" s="276" t="str">
        <f>VLOOKUP(功能_33[[#This Row],[User]],SKL放款!A:G,7,FALSE)</f>
        <v>放款管理課</v>
      </c>
      <c r="AA536" s="283">
        <v>44536</v>
      </c>
      <c r="AB536" s="283" t="s">
        <v>2408</v>
      </c>
      <c r="AC536" s="283">
        <v>44546</v>
      </c>
      <c r="AD536" s="283">
        <v>44546</v>
      </c>
      <c r="AE536" s="283">
        <v>44546</v>
      </c>
      <c r="AF536" s="283"/>
      <c r="AG536" s="283"/>
      <c r="AH536" s="283"/>
      <c r="AI536" s="283">
        <f>IFERROR(IF(VLOOKUP(功能_33[[#This Row],[功能代號]],E:S,11,FALSE)=0,"",VLOOKUP(功能_33[[#This Row],[功能代號]],E:S,11,FALSE)),"")</f>
        <v>44536</v>
      </c>
      <c r="AJ536" s="283"/>
      <c r="AK536" s="283"/>
      <c r="AL536" s="276"/>
      <c r="AN536" s="292" t="s">
        <v>2411</v>
      </c>
      <c r="AO536" s="276" t="s">
        <v>2412</v>
      </c>
      <c r="AQ536" s="507" t="str">
        <f t="shared" si="72"/>
        <v>7-2</v>
      </c>
      <c r="AR536" s="509" t="str">
        <f t="shared" si="73"/>
        <v/>
      </c>
      <c r="AS536" s="511" t="str">
        <f t="shared" si="74"/>
        <v/>
      </c>
      <c r="AT536" s="513" t="str">
        <f t="shared" si="75"/>
        <v/>
      </c>
      <c r="AU536" s="515" t="str">
        <f t="shared" si="76"/>
        <v/>
      </c>
      <c r="AV536" s="517" t="str">
        <f t="shared" si="77"/>
        <v/>
      </c>
      <c r="AW536" s="589" t="str">
        <f>IFERROR(VLOOKUP(功能_33[[#This Row],[功能代號]],SIT_FT!D:D,1,FALSE),"")</f>
        <v/>
      </c>
    </row>
    <row r="537" spans="1:49" ht="27" hidden="1" x14ac:dyDescent="0.3">
      <c r="C537" s="276" t="s">
        <v>83</v>
      </c>
      <c r="D537" s="266" t="s">
        <v>2488</v>
      </c>
      <c r="E537" s="275" t="s">
        <v>1359</v>
      </c>
      <c r="F537" s="276" t="s">
        <v>1360</v>
      </c>
      <c r="G537" s="276" t="s">
        <v>1356</v>
      </c>
      <c r="H537" s="275" t="s">
        <v>466</v>
      </c>
      <c r="I537" s="275" t="s">
        <v>466</v>
      </c>
      <c r="J537" s="282" t="s">
        <v>2862</v>
      </c>
      <c r="K537" s="283">
        <v>44585</v>
      </c>
      <c r="L537" s="283"/>
      <c r="M537" s="283">
        <v>44530</v>
      </c>
      <c r="N537" s="283">
        <v>44530</v>
      </c>
      <c r="O537" s="283">
        <v>44536</v>
      </c>
      <c r="P537" s="275" t="str">
        <f>VLOOKUP(功能_33[[#This Row],[功能代號]],[5]外部輸出入介面!$C:$F,4,FALSE)</f>
        <v>林清河</v>
      </c>
      <c r="Q537" s="275" t="str">
        <f>VLOOKUP(功能_33[[#This Row],[功能代號]],[5]外部輸出入介面!$C:$F,3,FALSE)</f>
        <v>張舜雯</v>
      </c>
      <c r="V537" s="275"/>
      <c r="X537" s="275"/>
      <c r="Y537" s="275"/>
      <c r="Z537" s="276" t="str">
        <f>VLOOKUP(功能_33[[#This Row],[User]],SKL放款!A:G,7,FALSE)</f>
        <v>放款管理課</v>
      </c>
      <c r="AA537" s="283">
        <v>44536</v>
      </c>
      <c r="AB537" s="283"/>
      <c r="AC537" s="283">
        <v>44546</v>
      </c>
      <c r="AD537" s="283">
        <v>44546</v>
      </c>
      <c r="AE537" s="283">
        <v>44546</v>
      </c>
      <c r="AF537" s="283"/>
      <c r="AG537" s="283"/>
      <c r="AH537" s="283"/>
      <c r="AI537" s="283">
        <f>IFERROR(IF(VLOOKUP(功能_33[[#This Row],[功能代號]],E:S,11,FALSE)=0,"",VLOOKUP(功能_33[[#This Row],[功能代號]],E:S,11,FALSE)),"")</f>
        <v>44536</v>
      </c>
      <c r="AJ537" s="283"/>
      <c r="AK537" s="283"/>
      <c r="AL537" s="276"/>
      <c r="AN537" s="292" t="s">
        <v>2413</v>
      </c>
      <c r="AO537" s="276" t="s">
        <v>2414</v>
      </c>
      <c r="AQ537" s="507" t="str">
        <f t="shared" si="72"/>
        <v>7-2</v>
      </c>
      <c r="AR537" s="509" t="str">
        <f t="shared" si="73"/>
        <v/>
      </c>
      <c r="AS537" s="511" t="str">
        <f t="shared" si="74"/>
        <v/>
      </c>
      <c r="AT537" s="513" t="str">
        <f t="shared" si="75"/>
        <v/>
      </c>
      <c r="AU537" s="515" t="str">
        <f t="shared" si="76"/>
        <v/>
      </c>
      <c r="AV537" s="517" t="str">
        <f t="shared" si="77"/>
        <v/>
      </c>
      <c r="AW537" s="589" t="str">
        <f>IFERROR(VLOOKUP(功能_33[[#This Row],[功能代號]],SIT_FT!D:D,1,FALSE),"")</f>
        <v/>
      </c>
    </row>
    <row r="538" spans="1:49" ht="27" hidden="1" x14ac:dyDescent="0.3">
      <c r="C538" s="276" t="s">
        <v>83</v>
      </c>
      <c r="D538" s="266" t="s">
        <v>2488</v>
      </c>
      <c r="E538" s="275" t="s">
        <v>1361</v>
      </c>
      <c r="F538" s="276" t="s">
        <v>1362</v>
      </c>
      <c r="G538" s="276" t="s">
        <v>1356</v>
      </c>
      <c r="H538" s="275" t="s">
        <v>466</v>
      </c>
      <c r="I538" s="275" t="s">
        <v>466</v>
      </c>
      <c r="J538" s="282" t="s">
        <v>2862</v>
      </c>
      <c r="K538" s="283">
        <v>44585</v>
      </c>
      <c r="L538" s="283"/>
      <c r="M538" s="283">
        <v>44530</v>
      </c>
      <c r="N538" s="283">
        <v>44530</v>
      </c>
      <c r="O538" s="283">
        <v>44536</v>
      </c>
      <c r="P538" s="275" t="str">
        <f>VLOOKUP(功能_33[[#This Row],[功能代號]],[5]外部輸出入介面!$C:$F,4,FALSE)</f>
        <v>林清河</v>
      </c>
      <c r="Q538" s="275" t="str">
        <f>VLOOKUP(功能_33[[#This Row],[功能代號]],[5]外部輸出入介面!$C:$F,3,FALSE)</f>
        <v>張舜雯</v>
      </c>
      <c r="V538" s="275"/>
      <c r="X538" s="275"/>
      <c r="Y538" s="275"/>
      <c r="Z538" s="276" t="str">
        <f>VLOOKUP(功能_33[[#This Row],[User]],SKL放款!A:G,7,FALSE)</f>
        <v>放款管理課</v>
      </c>
      <c r="AA538" s="283">
        <v>44536</v>
      </c>
      <c r="AB538" s="283" t="s">
        <v>2408</v>
      </c>
      <c r="AC538" s="283">
        <v>44546</v>
      </c>
      <c r="AD538" s="283">
        <v>44546</v>
      </c>
      <c r="AE538" s="283">
        <v>44546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44536</v>
      </c>
      <c r="AJ538" s="283"/>
      <c r="AK538" s="283"/>
      <c r="AL538" s="276"/>
      <c r="AN538" s="292" t="s">
        <v>2413</v>
      </c>
      <c r="AO538" s="276" t="s">
        <v>2414</v>
      </c>
      <c r="AQ538" s="507" t="str">
        <f t="shared" si="72"/>
        <v>7-2</v>
      </c>
      <c r="AR538" s="509" t="str">
        <f t="shared" si="73"/>
        <v/>
      </c>
      <c r="AS538" s="511" t="str">
        <f t="shared" si="74"/>
        <v/>
      </c>
      <c r="AT538" s="513" t="str">
        <f t="shared" si="75"/>
        <v/>
      </c>
      <c r="AU538" s="515" t="str">
        <f t="shared" si="76"/>
        <v/>
      </c>
      <c r="AV538" s="517" t="str">
        <f t="shared" si="77"/>
        <v/>
      </c>
      <c r="AW538" s="589" t="str">
        <f>IFERROR(VLOOKUP(功能_33[[#This Row],[功能代號]],SIT_FT!D:D,1,FALSE),"")</f>
        <v/>
      </c>
    </row>
    <row r="539" spans="1:49" ht="27" hidden="1" x14ac:dyDescent="0.3">
      <c r="C539" s="276" t="s">
        <v>83</v>
      </c>
      <c r="D539" s="266" t="s">
        <v>2783</v>
      </c>
      <c r="E539" s="275" t="s">
        <v>1363</v>
      </c>
      <c r="F539" s="276" t="s">
        <v>1364</v>
      </c>
      <c r="G539" s="276" t="s">
        <v>1356</v>
      </c>
      <c r="H539" s="275" t="s">
        <v>466</v>
      </c>
      <c r="I539" s="275" t="s">
        <v>466</v>
      </c>
      <c r="J539" s="282" t="s">
        <v>2862</v>
      </c>
      <c r="K539" s="283">
        <v>44585</v>
      </c>
      <c r="L539" s="283"/>
      <c r="M539" s="283">
        <v>44530</v>
      </c>
      <c r="N539" s="283">
        <v>44530</v>
      </c>
      <c r="O539" s="283">
        <f>IFERROR(IF(VLOOKUP(功能_33[[#This Row],[功能代號]],討論項目!A:H,8,FALSE)=0,"",VLOOKUP(功能_33[[#This Row],[功能代號]],討論項目!A:H,8,FALSE)),"")</f>
        <v>44533</v>
      </c>
      <c r="P539" s="275" t="str">
        <f>VLOOKUP(功能_33[[#This Row],[功能代號]],[5]外部輸出入介面!$C:$F,4,FALSE)</f>
        <v>林清河</v>
      </c>
      <c r="Q539" s="275" t="str">
        <f>VLOOKUP(功能_33[[#This Row],[功能代號]],[5]外部輸出入介面!$C:$F,3,FALSE)</f>
        <v>張舜雯</v>
      </c>
      <c r="V539" s="275"/>
      <c r="X539" s="275"/>
      <c r="Y539" s="275"/>
      <c r="Z539" s="276" t="str">
        <f>VLOOKUP(功能_33[[#This Row],[User]],SKL放款!A:G,7,FALSE)</f>
        <v>放款管理課</v>
      </c>
      <c r="AA539" s="283">
        <v>44533</v>
      </c>
      <c r="AB539" s="283" t="s">
        <v>2408</v>
      </c>
      <c r="AC539" s="283">
        <v>44546</v>
      </c>
      <c r="AD539" s="283">
        <v>44546</v>
      </c>
      <c r="AE539" s="283">
        <v>44546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44533</v>
      </c>
      <c r="AJ539" s="283"/>
      <c r="AK539" s="283"/>
      <c r="AL539" s="276"/>
      <c r="AN539" s="292" t="s">
        <v>2415</v>
      </c>
      <c r="AO539" s="276" t="s">
        <v>2416</v>
      </c>
      <c r="AQ539" s="507" t="str">
        <f t="shared" si="72"/>
        <v>7-2</v>
      </c>
      <c r="AR539" s="509" t="str">
        <f t="shared" si="73"/>
        <v/>
      </c>
      <c r="AS539" s="511" t="str">
        <f t="shared" si="74"/>
        <v/>
      </c>
      <c r="AT539" s="513" t="str">
        <f t="shared" si="75"/>
        <v/>
      </c>
      <c r="AU539" s="515" t="str">
        <f t="shared" si="76"/>
        <v/>
      </c>
      <c r="AV539" s="517" t="str">
        <f t="shared" si="77"/>
        <v/>
      </c>
      <c r="AW539" s="589" t="str">
        <f>IFERROR(VLOOKUP(功能_33[[#This Row],[功能代號]],SIT_FT!D:D,1,FALSE),"")</f>
        <v/>
      </c>
    </row>
    <row r="540" spans="1:49" ht="27" hidden="1" x14ac:dyDescent="0.3">
      <c r="C540" s="276" t="s">
        <v>83</v>
      </c>
      <c r="D540" s="266" t="s">
        <v>2488</v>
      </c>
      <c r="E540" s="275" t="s">
        <v>1365</v>
      </c>
      <c r="F540" s="276" t="s">
        <v>1366</v>
      </c>
      <c r="G540" s="276" t="s">
        <v>1356</v>
      </c>
      <c r="H540" s="275" t="s">
        <v>466</v>
      </c>
      <c r="I540" s="275" t="s">
        <v>466</v>
      </c>
      <c r="J540" s="282" t="s">
        <v>2862</v>
      </c>
      <c r="K540" s="283">
        <v>44585</v>
      </c>
      <c r="L540" s="283"/>
      <c r="M540" s="283">
        <v>44530</v>
      </c>
      <c r="N540" s="283">
        <v>44530</v>
      </c>
      <c r="O540" s="283">
        <v>44536</v>
      </c>
      <c r="P540" s="275" t="str">
        <f>VLOOKUP(功能_33[[#This Row],[功能代號]],[5]外部輸出入介面!$C:$F,4,FALSE)</f>
        <v>林清河</v>
      </c>
      <c r="Q540" s="275" t="str">
        <f>VLOOKUP(功能_33[[#This Row],[功能代號]],[5]外部輸出入介面!$C:$F,3,FALSE)</f>
        <v>張舜雯</v>
      </c>
      <c r="V540" s="275"/>
      <c r="X540" s="275"/>
      <c r="Y540" s="275"/>
      <c r="Z540" s="276" t="str">
        <f>VLOOKUP(功能_33[[#This Row],[User]],SKL放款!A:G,7,FALSE)</f>
        <v>放款管理課</v>
      </c>
      <c r="AA540" s="283">
        <v>44536</v>
      </c>
      <c r="AB540" s="283" t="s">
        <v>2408</v>
      </c>
      <c r="AC540" s="283">
        <v>44546</v>
      </c>
      <c r="AD540" s="283">
        <v>44546</v>
      </c>
      <c r="AE540" s="283">
        <v>44546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44536</v>
      </c>
      <c r="AJ540" s="283"/>
      <c r="AK540" s="283"/>
      <c r="AL540" s="276"/>
      <c r="AN540" s="292" t="s">
        <v>2415</v>
      </c>
      <c r="AO540" s="276" t="s">
        <v>2416</v>
      </c>
      <c r="AQ540" s="507" t="str">
        <f t="shared" si="72"/>
        <v>7-2</v>
      </c>
      <c r="AR540" s="509" t="str">
        <f t="shared" si="73"/>
        <v/>
      </c>
      <c r="AS540" s="511" t="str">
        <f t="shared" si="74"/>
        <v/>
      </c>
      <c r="AT540" s="513" t="str">
        <f t="shared" si="75"/>
        <v/>
      </c>
      <c r="AU540" s="515" t="str">
        <f t="shared" si="76"/>
        <v/>
      </c>
      <c r="AV540" s="517" t="str">
        <f t="shared" si="77"/>
        <v/>
      </c>
      <c r="AW540" s="589" t="str">
        <f>IFERROR(VLOOKUP(功能_33[[#This Row],[功能代號]],SIT_FT!D:D,1,FALSE),"")</f>
        <v/>
      </c>
    </row>
    <row r="541" spans="1:49" ht="27" hidden="1" x14ac:dyDescent="0.3">
      <c r="C541" s="276" t="s">
        <v>83</v>
      </c>
      <c r="D541" s="266" t="s">
        <v>2488</v>
      </c>
      <c r="E541" s="275" t="s">
        <v>1367</v>
      </c>
      <c r="F541" s="276" t="s">
        <v>1368</v>
      </c>
      <c r="G541" s="276" t="s">
        <v>1356</v>
      </c>
      <c r="H541" s="275" t="s">
        <v>466</v>
      </c>
      <c r="I541" s="275" t="s">
        <v>466</v>
      </c>
      <c r="J541" s="282" t="s">
        <v>2862</v>
      </c>
      <c r="K541" s="283">
        <v>44585</v>
      </c>
      <c r="L541" s="283"/>
      <c r="M541" s="283">
        <v>44530</v>
      </c>
      <c r="N541" s="283">
        <v>44530</v>
      </c>
      <c r="O541" s="283">
        <f>IFERROR(IF(VLOOKUP(功能_33[[#This Row],[功能代號]],討論項目!A:H,8,FALSE)=0,"",VLOOKUP(功能_33[[#This Row],[功能代號]],討論項目!A:H,8,FALSE)),"")</f>
        <v>44533</v>
      </c>
      <c r="P541" s="275" t="str">
        <f>VLOOKUP(功能_33[[#This Row],[功能代號]],[5]外部輸出入介面!$C:$F,4,FALSE)</f>
        <v>林清河</v>
      </c>
      <c r="Q541" s="275" t="str">
        <f>VLOOKUP(功能_33[[#This Row],[功能代號]],[5]外部輸出入介面!$C:$F,3,FALSE)</f>
        <v>蔡珮瑜</v>
      </c>
      <c r="R541" s="258" t="s">
        <v>2698</v>
      </c>
      <c r="V541" s="275"/>
      <c r="X541" s="275"/>
      <c r="Y541" s="275"/>
      <c r="Z541" s="276" t="str">
        <f>VLOOKUP(功能_33[[#This Row],[User]],SKL放款!A:G,7,FALSE)</f>
        <v>放款服務課</v>
      </c>
      <c r="AA541" s="283">
        <v>44533</v>
      </c>
      <c r="AB541" s="283" t="s">
        <v>2408</v>
      </c>
      <c r="AC541" s="283">
        <v>44546</v>
      </c>
      <c r="AD541" s="283">
        <v>44546</v>
      </c>
      <c r="AE541" s="283">
        <v>44546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44533</v>
      </c>
      <c r="AJ541" s="283"/>
      <c r="AK541" s="283"/>
      <c r="AL541" s="276"/>
      <c r="AN541" s="292" t="s">
        <v>2417</v>
      </c>
      <c r="AO541" s="276" t="s">
        <v>2418</v>
      </c>
      <c r="AQ541" s="507" t="str">
        <f t="shared" si="72"/>
        <v>7-2</v>
      </c>
      <c r="AR541" s="509" t="str">
        <f t="shared" si="73"/>
        <v/>
      </c>
      <c r="AS541" s="511" t="str">
        <f t="shared" si="74"/>
        <v/>
      </c>
      <c r="AT541" s="513" t="str">
        <f t="shared" si="75"/>
        <v/>
      </c>
      <c r="AU541" s="515" t="str">
        <f t="shared" si="76"/>
        <v/>
      </c>
      <c r="AV541" s="517" t="str">
        <f t="shared" si="77"/>
        <v/>
      </c>
      <c r="AW541" s="589" t="str">
        <f>IFERROR(VLOOKUP(功能_33[[#This Row],[功能代號]],SIT_FT!D:D,1,FALSE),"")</f>
        <v/>
      </c>
    </row>
    <row r="542" spans="1:49" ht="81" hidden="1" x14ac:dyDescent="0.3">
      <c r="C542" s="276" t="s">
        <v>83</v>
      </c>
      <c r="D542" s="266" t="s">
        <v>2488</v>
      </c>
      <c r="E542" s="275" t="s">
        <v>1369</v>
      </c>
      <c r="F542" s="276" t="s">
        <v>1370</v>
      </c>
      <c r="G542" s="276" t="s">
        <v>1356</v>
      </c>
      <c r="H542" s="275" t="s">
        <v>466</v>
      </c>
      <c r="I542" s="275" t="s">
        <v>466</v>
      </c>
      <c r="J542" s="282" t="s">
        <v>2862</v>
      </c>
      <c r="K542" s="283">
        <v>44589</v>
      </c>
      <c r="L542" s="283"/>
      <c r="M542" s="283">
        <v>44530</v>
      </c>
      <c r="N542" s="283">
        <v>44530</v>
      </c>
      <c r="O542" s="283">
        <f>IFERROR(IF(VLOOKUP(功能_33[[#This Row],[功能代號]],討論項目!A:H,8,FALSE)=0,"",VLOOKUP(功能_33[[#This Row],[功能代號]],討論項目!A:H,8,FALSE)),"")</f>
        <v>44533</v>
      </c>
      <c r="P542" s="275" t="str">
        <f>VLOOKUP(功能_33[[#This Row],[功能代號]],[5]外部輸出入介面!$C:$F,4,FALSE)</f>
        <v>林清河</v>
      </c>
      <c r="Q542" s="275" t="str">
        <f>VLOOKUP(功能_33[[#This Row],[功能代號]],[5]外部輸出入介面!$C:$F,3,FALSE)</f>
        <v>張舜雯</v>
      </c>
      <c r="R542" s="258" t="s">
        <v>2698</v>
      </c>
      <c r="V542" s="275"/>
      <c r="X542" s="275"/>
      <c r="Y542" s="275"/>
      <c r="Z542" s="276" t="str">
        <f>VLOOKUP(功能_33[[#This Row],[User]],SKL放款!A:G,7,FALSE)</f>
        <v>放款管理課</v>
      </c>
      <c r="AA542" s="283">
        <v>44533</v>
      </c>
      <c r="AB542" s="283" t="s">
        <v>2408</v>
      </c>
      <c r="AC542" s="283">
        <v>44546</v>
      </c>
      <c r="AD542" s="283">
        <v>44546</v>
      </c>
      <c r="AE542" s="283">
        <v>44546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44533</v>
      </c>
      <c r="AJ542" s="283"/>
      <c r="AK542" s="283"/>
      <c r="AL542" s="276"/>
      <c r="AN542" s="292" t="s">
        <v>2419</v>
      </c>
      <c r="AO542" s="212" t="s">
        <v>2420</v>
      </c>
      <c r="AQ542" s="507" t="str">
        <f t="shared" si="72"/>
        <v>7-2</v>
      </c>
      <c r="AR542" s="509" t="str">
        <f t="shared" si="73"/>
        <v/>
      </c>
      <c r="AS542" s="511" t="str">
        <f t="shared" si="74"/>
        <v/>
      </c>
      <c r="AT542" s="513" t="str">
        <f t="shared" si="75"/>
        <v/>
      </c>
      <c r="AU542" s="515" t="str">
        <f t="shared" si="76"/>
        <v/>
      </c>
      <c r="AV542" s="517" t="str">
        <f t="shared" si="77"/>
        <v/>
      </c>
      <c r="AW542" s="589" t="str">
        <f>IFERROR(VLOOKUP(功能_33[[#This Row],[功能代號]],SIT_FT!D:D,1,FALSE),"")</f>
        <v/>
      </c>
    </row>
    <row r="543" spans="1:49" ht="94.5" hidden="1" x14ac:dyDescent="0.3">
      <c r="A543" s="537">
        <v>44561</v>
      </c>
      <c r="C543" s="276" t="s">
        <v>83</v>
      </c>
      <c r="D543" s="266" t="s">
        <v>2488</v>
      </c>
      <c r="E543" s="275" t="s">
        <v>1371</v>
      </c>
      <c r="F543" s="276" t="s">
        <v>1372</v>
      </c>
      <c r="G543" s="276" t="s">
        <v>1356</v>
      </c>
      <c r="H543" s="275" t="s">
        <v>466</v>
      </c>
      <c r="I543" s="275" t="s">
        <v>466</v>
      </c>
      <c r="J543" s="282" t="s">
        <v>2862</v>
      </c>
      <c r="K543" s="283">
        <v>44589</v>
      </c>
      <c r="L543" s="283"/>
      <c r="M543" s="213">
        <v>44530</v>
      </c>
      <c r="N543" s="213">
        <v>44530</v>
      </c>
      <c r="O543" s="221">
        <v>44546</v>
      </c>
      <c r="P543" s="275" t="str">
        <f>VLOOKUP(功能_33[[#This Row],[功能代號]],[5]外部輸出入介面!$C:$F,4,FALSE)</f>
        <v>林清河</v>
      </c>
      <c r="Q543" s="275" t="str">
        <f>VLOOKUP(功能_33[[#This Row],[功能代號]],[5]外部輸出入介面!$C:$F,3,FALSE)</f>
        <v>蔡珮瑜</v>
      </c>
      <c r="R543" s="258" t="s">
        <v>2784</v>
      </c>
      <c r="V543" s="275"/>
      <c r="X543" s="275"/>
      <c r="Y543" s="275"/>
      <c r="Z543" s="276" t="str">
        <f>VLOOKUP(功能_33[[#This Row],[User]],SKL放款!A:G,7,FALSE)</f>
        <v>放款服務課</v>
      </c>
      <c r="AA543" s="221">
        <v>44546</v>
      </c>
      <c r="AB543" s="283" t="s">
        <v>2408</v>
      </c>
      <c r="AC543" s="283">
        <v>44546</v>
      </c>
      <c r="AD543" s="283">
        <v>44546</v>
      </c>
      <c r="AE543" s="283">
        <v>44546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44546</v>
      </c>
      <c r="AJ543" s="283"/>
      <c r="AK543" s="283"/>
      <c r="AL543" s="276"/>
      <c r="AN543" s="292" t="s">
        <v>2421</v>
      </c>
      <c r="AO543" s="212" t="s">
        <v>2422</v>
      </c>
      <c r="AQ543" s="507" t="str">
        <f t="shared" si="72"/>
        <v>7-2</v>
      </c>
      <c r="AR543" s="509" t="str">
        <f t="shared" si="73"/>
        <v/>
      </c>
      <c r="AS543" s="511" t="str">
        <f t="shared" si="74"/>
        <v/>
      </c>
      <c r="AT543" s="513" t="str">
        <f t="shared" si="75"/>
        <v/>
      </c>
      <c r="AU543" s="515" t="str">
        <f t="shared" si="76"/>
        <v/>
      </c>
      <c r="AV543" s="517" t="str">
        <f t="shared" si="77"/>
        <v/>
      </c>
      <c r="AW543" s="589" t="str">
        <f>IFERROR(VLOOKUP(功能_33[[#This Row],[功能代號]],SIT_FT!D:D,1,FALSE),"")</f>
        <v/>
      </c>
    </row>
    <row r="544" spans="1:49" ht="13.5" hidden="1" x14ac:dyDescent="0.3">
      <c r="C544" s="276" t="s">
        <v>83</v>
      </c>
      <c r="D544" s="266" t="s">
        <v>2512</v>
      </c>
      <c r="E544" s="275" t="s">
        <v>1373</v>
      </c>
      <c r="F544" s="267" t="s">
        <v>1374</v>
      </c>
      <c r="G544" s="276" t="s">
        <v>1375</v>
      </c>
      <c r="H544" s="275" t="s">
        <v>122</v>
      </c>
      <c r="I544" s="275" t="s">
        <v>189</v>
      </c>
      <c r="J544" s="282" t="s">
        <v>2776</v>
      </c>
      <c r="K544" s="283">
        <v>44571</v>
      </c>
      <c r="L544" s="283">
        <v>44568</v>
      </c>
      <c r="M544" s="283">
        <v>44524</v>
      </c>
      <c r="N544" s="283">
        <v>44526</v>
      </c>
      <c r="O544" s="283">
        <v>44536</v>
      </c>
      <c r="P544" s="275" t="s">
        <v>10</v>
      </c>
      <c r="Q544" s="275" t="s">
        <v>28</v>
      </c>
      <c r="V544" s="275"/>
      <c r="X544" s="275"/>
      <c r="Y544" s="275"/>
      <c r="Z544" s="276" t="str">
        <f>VLOOKUP(功能_33[[#This Row],[User]],SKL放款!A:G,7,FALSE)</f>
        <v>放款審查課</v>
      </c>
      <c r="AA544" s="283">
        <v>44533</v>
      </c>
      <c r="AB544" s="283" t="s">
        <v>2574</v>
      </c>
      <c r="AC544" s="283">
        <v>44524</v>
      </c>
      <c r="AD544" s="283">
        <v>44526</v>
      </c>
      <c r="AE544" s="283">
        <v>44544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44536</v>
      </c>
      <c r="AJ544" s="283"/>
      <c r="AK544" s="283"/>
      <c r="AL544" s="276"/>
      <c r="AN544" s="275" t="s">
        <v>176</v>
      </c>
      <c r="AQ544" s="507" t="str">
        <f t="shared" si="72"/>
        <v>7-1</v>
      </c>
      <c r="AR544" s="509" t="str">
        <f t="shared" si="73"/>
        <v/>
      </c>
      <c r="AS544" s="511" t="str">
        <f t="shared" si="74"/>
        <v/>
      </c>
      <c r="AT544" s="513" t="str">
        <f t="shared" si="75"/>
        <v/>
      </c>
      <c r="AU544" s="515" t="str">
        <f t="shared" si="76"/>
        <v/>
      </c>
      <c r="AV544" s="517" t="str">
        <f t="shared" si="77"/>
        <v/>
      </c>
      <c r="AW544" s="589" t="str">
        <f>IFERROR(VLOOKUP(功能_33[[#This Row],[功能代號]],SIT_FT!D:D,1,FALSE),"")</f>
        <v/>
      </c>
    </row>
    <row r="545" spans="1:49" ht="13.5" hidden="1" x14ac:dyDescent="0.3">
      <c r="C545" s="276" t="s">
        <v>2515</v>
      </c>
      <c r="D545" s="276" t="s">
        <v>2584</v>
      </c>
      <c r="E545" s="275" t="s">
        <v>1376</v>
      </c>
      <c r="F545" s="267" t="s">
        <v>1377</v>
      </c>
      <c r="G545" s="267" t="s">
        <v>1378</v>
      </c>
      <c r="H545" s="275" t="s">
        <v>122</v>
      </c>
      <c r="I545" s="275" t="s">
        <v>122</v>
      </c>
      <c r="J545" s="282" t="s">
        <v>2822</v>
      </c>
      <c r="K545" s="275" t="s">
        <v>3010</v>
      </c>
      <c r="L545" s="283"/>
      <c r="M545" s="283">
        <v>44533</v>
      </c>
      <c r="N545" s="283">
        <v>44533</v>
      </c>
      <c r="O545" s="283">
        <v>44545</v>
      </c>
      <c r="P545" s="275" t="s">
        <v>7</v>
      </c>
      <c r="Q545" s="275" t="s">
        <v>2821</v>
      </c>
      <c r="V545" s="275"/>
      <c r="X545" s="275"/>
      <c r="Y545" s="275"/>
      <c r="Z545" s="276" t="str">
        <f>VLOOKUP(功能_33[[#This Row],[User]],SKL放款!A:G,7,FALSE)</f>
        <v>放款服務課</v>
      </c>
      <c r="AA545" s="283">
        <v>44545</v>
      </c>
      <c r="AB545" s="283" t="s">
        <v>2574</v>
      </c>
      <c r="AC545" s="268">
        <v>44543</v>
      </c>
      <c r="AD545" s="283">
        <v>44543</v>
      </c>
      <c r="AE545" s="283">
        <v>44545</v>
      </c>
      <c r="AF545" s="269"/>
      <c r="AG545" s="269"/>
      <c r="AH545" s="269"/>
      <c r="AI545" s="269">
        <f>IFERROR(IF(VLOOKUP(功能_33[[#This Row],[功能代號]],E:S,11,FALSE)=0,"",VLOOKUP(功能_33[[#This Row],[功能代號]],E:S,11,FALSE)),"")</f>
        <v>44545</v>
      </c>
      <c r="AJ545" s="269"/>
      <c r="AK545" s="269"/>
      <c r="AL545" s="276"/>
      <c r="AN545" s="275" t="s">
        <v>2623</v>
      </c>
      <c r="AQ545" s="507" t="str">
        <f t="shared" si="72"/>
        <v>LC.</v>
      </c>
      <c r="AR545" s="509" t="str">
        <f t="shared" si="73"/>
        <v/>
      </c>
      <c r="AS545" s="511" t="str">
        <f t="shared" si="74"/>
        <v/>
      </c>
      <c r="AT545" s="513" t="str">
        <f t="shared" si="75"/>
        <v/>
      </c>
      <c r="AU545" s="515" t="str">
        <f t="shared" si="76"/>
        <v/>
      </c>
      <c r="AV545" s="517" t="str">
        <f t="shared" si="77"/>
        <v/>
      </c>
      <c r="AW545" s="589" t="str">
        <f>IFERROR(VLOOKUP(功能_33[[#This Row],[功能代號]],SIT_FT!D:D,1,FALSE),"")</f>
        <v>LC001</v>
      </c>
    </row>
    <row r="546" spans="1:49" ht="13.5" hidden="1" x14ac:dyDescent="0.3">
      <c r="C546" s="276" t="s">
        <v>2515</v>
      </c>
      <c r="D546" s="276" t="s">
        <v>2584</v>
      </c>
      <c r="E546" s="275" t="s">
        <v>1379</v>
      </c>
      <c r="F546" s="267" t="s">
        <v>1380</v>
      </c>
      <c r="G546" s="267" t="s">
        <v>1381</v>
      </c>
      <c r="H546" s="275" t="s">
        <v>122</v>
      </c>
      <c r="I546" s="275" t="s">
        <v>122</v>
      </c>
      <c r="J546" s="282" t="s">
        <v>2822</v>
      </c>
      <c r="K546" s="275" t="s">
        <v>3010</v>
      </c>
      <c r="L546" s="283"/>
      <c r="M546" s="283">
        <v>44533</v>
      </c>
      <c r="N546" s="283">
        <v>44533</v>
      </c>
      <c r="O546" s="283">
        <v>44545</v>
      </c>
      <c r="P546" s="275" t="s">
        <v>7</v>
      </c>
      <c r="Q546" s="275" t="s">
        <v>2821</v>
      </c>
      <c r="V546" s="275"/>
      <c r="X546" s="275"/>
      <c r="Y546" s="275"/>
      <c r="Z546" s="276" t="str">
        <f>VLOOKUP(功能_33[[#This Row],[User]],SKL放款!A:G,7,FALSE)</f>
        <v>放款服務課</v>
      </c>
      <c r="AA546" s="283">
        <v>44545</v>
      </c>
      <c r="AB546" s="283" t="s">
        <v>2574</v>
      </c>
      <c r="AC546" s="268">
        <v>44543</v>
      </c>
      <c r="AD546" s="283">
        <v>44543</v>
      </c>
      <c r="AE546" s="283">
        <v>44545</v>
      </c>
      <c r="AF546" s="269"/>
      <c r="AG546" s="269"/>
      <c r="AH546" s="269"/>
      <c r="AI546" s="269">
        <f>IFERROR(IF(VLOOKUP(功能_33[[#This Row],[功能代號]],E:S,11,FALSE)=0,"",VLOOKUP(功能_33[[#This Row],[功能代號]],E:S,11,FALSE)),"")</f>
        <v>44545</v>
      </c>
      <c r="AJ546" s="269"/>
      <c r="AK546" s="269"/>
      <c r="AL546" s="276"/>
      <c r="AN546" s="275" t="s">
        <v>2623</v>
      </c>
      <c r="AQ546" s="507" t="str">
        <f t="shared" si="72"/>
        <v>LC.</v>
      </c>
      <c r="AR546" s="509" t="str">
        <f t="shared" si="73"/>
        <v/>
      </c>
      <c r="AS546" s="511" t="str">
        <f t="shared" si="74"/>
        <v/>
      </c>
      <c r="AT546" s="513" t="str">
        <f t="shared" si="75"/>
        <v/>
      </c>
      <c r="AU546" s="515" t="str">
        <f t="shared" si="76"/>
        <v/>
      </c>
      <c r="AV546" s="517" t="str">
        <f t="shared" si="77"/>
        <v/>
      </c>
      <c r="AW546" s="589" t="str">
        <f>IFERROR(VLOOKUP(功能_33[[#This Row],[功能代號]],SIT_FT!D:D,1,FALSE),"")</f>
        <v>LC002</v>
      </c>
    </row>
    <row r="547" spans="1:49" ht="13.5" hidden="1" x14ac:dyDescent="0.3">
      <c r="C547" s="276" t="s">
        <v>2515</v>
      </c>
      <c r="D547" s="276" t="s">
        <v>2584</v>
      </c>
      <c r="E547" s="275" t="s">
        <v>1382</v>
      </c>
      <c r="F547" s="267" t="s">
        <v>1383</v>
      </c>
      <c r="G547" s="267" t="s">
        <v>1384</v>
      </c>
      <c r="H547" s="275" t="s">
        <v>122</v>
      </c>
      <c r="I547" s="275" t="s">
        <v>122</v>
      </c>
      <c r="J547" s="282" t="s">
        <v>2822</v>
      </c>
      <c r="K547" s="275" t="s">
        <v>3010</v>
      </c>
      <c r="L547" s="283"/>
      <c r="M547" s="283">
        <v>44533</v>
      </c>
      <c r="N547" s="283">
        <v>44533</v>
      </c>
      <c r="O547" s="283">
        <v>44545</v>
      </c>
      <c r="P547" s="275" t="s">
        <v>7</v>
      </c>
      <c r="Q547" s="275" t="s">
        <v>2821</v>
      </c>
      <c r="V547" s="275"/>
      <c r="X547" s="275"/>
      <c r="Y547" s="275"/>
      <c r="Z547" s="276" t="str">
        <f>VLOOKUP(功能_33[[#This Row],[User]],SKL放款!A:G,7,FALSE)</f>
        <v>放款服務課</v>
      </c>
      <c r="AA547" s="283">
        <v>44545</v>
      </c>
      <c r="AB547" s="283" t="s">
        <v>2408</v>
      </c>
      <c r="AC547" s="268">
        <v>44543</v>
      </c>
      <c r="AD547" s="283">
        <v>44543</v>
      </c>
      <c r="AE547" s="283">
        <v>44545</v>
      </c>
      <c r="AF547" s="269"/>
      <c r="AG547" s="269"/>
      <c r="AH547" s="269"/>
      <c r="AI547" s="269">
        <f>IFERROR(IF(VLOOKUP(功能_33[[#This Row],[功能代號]],E:S,11,FALSE)=0,"",VLOOKUP(功能_33[[#This Row],[功能代號]],E:S,11,FALSE)),"")</f>
        <v>44545</v>
      </c>
      <c r="AJ547" s="269"/>
      <c r="AK547" s="269"/>
      <c r="AL547" s="276"/>
      <c r="AN547" s="275" t="s">
        <v>2623</v>
      </c>
      <c r="AQ547" s="507" t="str">
        <f t="shared" si="72"/>
        <v>LC.</v>
      </c>
      <c r="AR547" s="509" t="str">
        <f t="shared" si="73"/>
        <v/>
      </c>
      <c r="AS547" s="511" t="str">
        <f t="shared" si="74"/>
        <v/>
      </c>
      <c r="AT547" s="513" t="str">
        <f t="shared" si="75"/>
        <v/>
      </c>
      <c r="AU547" s="515" t="str">
        <f t="shared" si="76"/>
        <v/>
      </c>
      <c r="AV547" s="517" t="str">
        <f t="shared" si="77"/>
        <v/>
      </c>
      <c r="AW547" s="589" t="str">
        <f>IFERROR(VLOOKUP(功能_33[[#This Row],[功能代號]],SIT_FT!D:D,1,FALSE),"")</f>
        <v>LC003</v>
      </c>
    </row>
    <row r="548" spans="1:49" ht="13.5" hidden="1" x14ac:dyDescent="0.3">
      <c r="C548" s="276" t="s">
        <v>2515</v>
      </c>
      <c r="D548" s="276" t="s">
        <v>2584</v>
      </c>
      <c r="E548" s="275" t="s">
        <v>1385</v>
      </c>
      <c r="F548" s="267" t="s">
        <v>1386</v>
      </c>
      <c r="G548" s="267" t="s">
        <v>1381</v>
      </c>
      <c r="H548" s="275" t="s">
        <v>122</v>
      </c>
      <c r="I548" s="275" t="s">
        <v>122</v>
      </c>
      <c r="J548" s="282" t="s">
        <v>2822</v>
      </c>
      <c r="K548" s="275" t="s">
        <v>3010</v>
      </c>
      <c r="L548" s="283"/>
      <c r="M548" s="215">
        <v>44533</v>
      </c>
      <c r="N548" s="283">
        <v>44533</v>
      </c>
      <c r="O548" s="283">
        <v>44545</v>
      </c>
      <c r="P548" s="275" t="s">
        <v>7</v>
      </c>
      <c r="Q548" s="275" t="s">
        <v>2821</v>
      </c>
      <c r="V548" s="275"/>
      <c r="X548" s="275"/>
      <c r="Y548" s="275"/>
      <c r="Z548" s="276" t="str">
        <f>VLOOKUP(功能_33[[#This Row],[User]],SKL放款!A:G,7,FALSE)</f>
        <v>放款服務課</v>
      </c>
      <c r="AA548" s="283">
        <v>44545</v>
      </c>
      <c r="AB548" s="283" t="s">
        <v>2574</v>
      </c>
      <c r="AC548" s="268">
        <v>44543</v>
      </c>
      <c r="AD548" s="283">
        <v>44543</v>
      </c>
      <c r="AE548" s="283">
        <v>44545</v>
      </c>
      <c r="AF548" s="269"/>
      <c r="AG548" s="269"/>
      <c r="AH548" s="269"/>
      <c r="AI548" s="269">
        <f>IFERROR(IF(VLOOKUP(功能_33[[#This Row],[功能代號]],E:S,11,FALSE)=0,"",VLOOKUP(功能_33[[#This Row],[功能代號]],E:S,11,FALSE)),"")</f>
        <v>44545</v>
      </c>
      <c r="AJ548" s="269"/>
      <c r="AK548" s="269"/>
      <c r="AL548" s="276"/>
      <c r="AN548" s="275" t="s">
        <v>2623</v>
      </c>
      <c r="AQ548" s="507" t="str">
        <f t="shared" si="72"/>
        <v>LC.</v>
      </c>
      <c r="AR548" s="509" t="str">
        <f t="shared" si="73"/>
        <v/>
      </c>
      <c r="AS548" s="511" t="str">
        <f t="shared" si="74"/>
        <v/>
      </c>
      <c r="AT548" s="513" t="str">
        <f t="shared" si="75"/>
        <v/>
      </c>
      <c r="AU548" s="515" t="str">
        <f t="shared" si="76"/>
        <v/>
      </c>
      <c r="AV548" s="517" t="str">
        <f t="shared" si="77"/>
        <v/>
      </c>
      <c r="AW548" s="589" t="str">
        <f>IFERROR(VLOOKUP(功能_33[[#This Row],[功能代號]],SIT_FT!D:D,1,FALSE),"")</f>
        <v/>
      </c>
    </row>
    <row r="549" spans="1:49" ht="13.5" hidden="1" x14ac:dyDescent="0.3">
      <c r="C549" s="276" t="s">
        <v>2515</v>
      </c>
      <c r="D549" s="276" t="s">
        <v>2584</v>
      </c>
      <c r="E549" s="275" t="s">
        <v>1387</v>
      </c>
      <c r="F549" s="267" t="s">
        <v>1388</v>
      </c>
      <c r="G549" s="267" t="s">
        <v>1381</v>
      </c>
      <c r="H549" s="275" t="s">
        <v>122</v>
      </c>
      <c r="I549" s="275" t="s">
        <v>122</v>
      </c>
      <c r="J549" s="282" t="s">
        <v>2822</v>
      </c>
      <c r="K549" s="275" t="s">
        <v>3010</v>
      </c>
      <c r="L549" s="283"/>
      <c r="M549" s="283">
        <v>44533</v>
      </c>
      <c r="N549" s="283">
        <v>44533</v>
      </c>
      <c r="O549" s="283">
        <v>44545</v>
      </c>
      <c r="P549" s="275" t="s">
        <v>7</v>
      </c>
      <c r="Q549" s="275" t="s">
        <v>2821</v>
      </c>
      <c r="V549" s="275"/>
      <c r="X549" s="275"/>
      <c r="Y549" s="275"/>
      <c r="Z549" s="276" t="str">
        <f>VLOOKUP(功能_33[[#This Row],[User]],SKL放款!A:G,7,FALSE)</f>
        <v>放款服務課</v>
      </c>
      <c r="AA549" s="283">
        <v>44545</v>
      </c>
      <c r="AB549" s="283" t="s">
        <v>2574</v>
      </c>
      <c r="AC549" s="268">
        <v>44543</v>
      </c>
      <c r="AD549" s="283">
        <v>44543</v>
      </c>
      <c r="AE549" s="283">
        <v>44545</v>
      </c>
      <c r="AF549" s="269"/>
      <c r="AG549" s="269"/>
      <c r="AH549" s="269"/>
      <c r="AI549" s="269">
        <f>IFERROR(IF(VLOOKUP(功能_33[[#This Row],[功能代號]],E:S,11,FALSE)=0,"",VLOOKUP(功能_33[[#This Row],[功能代號]],E:S,11,FALSE)),"")</f>
        <v>44545</v>
      </c>
      <c r="AJ549" s="269"/>
      <c r="AK549" s="269"/>
      <c r="AL549" s="276"/>
      <c r="AN549" s="275" t="s">
        <v>2623</v>
      </c>
      <c r="AQ549" s="507" t="str">
        <f t="shared" si="72"/>
        <v>LC.</v>
      </c>
      <c r="AR549" s="509" t="str">
        <f t="shared" si="73"/>
        <v/>
      </c>
      <c r="AS549" s="511" t="str">
        <f t="shared" si="74"/>
        <v/>
      </c>
      <c r="AT549" s="513" t="str">
        <f t="shared" si="75"/>
        <v/>
      </c>
      <c r="AU549" s="515" t="str">
        <f t="shared" si="76"/>
        <v/>
      </c>
      <c r="AV549" s="517" t="str">
        <f t="shared" si="77"/>
        <v/>
      </c>
      <c r="AW549" s="589" t="str">
        <f>IFERROR(VLOOKUP(功能_33[[#This Row],[功能代號]],SIT_FT!D:D,1,FALSE),"")</f>
        <v>LC005</v>
      </c>
    </row>
    <row r="550" spans="1:49" ht="13.5" hidden="1" x14ac:dyDescent="0.3">
      <c r="C550" s="276" t="s">
        <v>2515</v>
      </c>
      <c r="D550" s="276" t="s">
        <v>2584</v>
      </c>
      <c r="E550" s="275" t="s">
        <v>1389</v>
      </c>
      <c r="F550" s="267" t="s">
        <v>1390</v>
      </c>
      <c r="G550" s="267" t="s">
        <v>1378</v>
      </c>
      <c r="H550" s="275" t="s">
        <v>122</v>
      </c>
      <c r="I550" s="275" t="s">
        <v>122</v>
      </c>
      <c r="J550" s="282" t="s">
        <v>2822</v>
      </c>
      <c r="K550" s="275" t="s">
        <v>3010</v>
      </c>
      <c r="L550" s="283"/>
      <c r="M550" s="283">
        <v>44533</v>
      </c>
      <c r="N550" s="283">
        <v>44533</v>
      </c>
      <c r="O550" s="283">
        <v>44545</v>
      </c>
      <c r="P550" s="275" t="s">
        <v>7</v>
      </c>
      <c r="Q550" s="275" t="s">
        <v>2821</v>
      </c>
      <c r="V550" s="275"/>
      <c r="X550" s="275"/>
      <c r="Y550" s="275"/>
      <c r="Z550" s="276" t="str">
        <f>VLOOKUP(功能_33[[#This Row],[User]],SKL放款!A:G,7,FALSE)</f>
        <v>放款服務課</v>
      </c>
      <c r="AA550" s="283">
        <v>44545</v>
      </c>
      <c r="AB550" s="283" t="s">
        <v>2408</v>
      </c>
      <c r="AC550" s="268">
        <v>44543</v>
      </c>
      <c r="AD550" s="283">
        <v>44543</v>
      </c>
      <c r="AE550" s="283">
        <v>44545</v>
      </c>
      <c r="AF550" s="269"/>
      <c r="AG550" s="269"/>
      <c r="AH550" s="269"/>
      <c r="AI550" s="269">
        <f>IFERROR(IF(VLOOKUP(功能_33[[#This Row],[功能代號]],E:S,11,FALSE)=0,"",VLOOKUP(功能_33[[#This Row],[功能代號]],E:S,11,FALSE)),"")</f>
        <v>44545</v>
      </c>
      <c r="AJ550" s="269"/>
      <c r="AK550" s="269"/>
      <c r="AL550" s="276"/>
      <c r="AN550" s="275" t="s">
        <v>2623</v>
      </c>
      <c r="AQ550" s="507" t="str">
        <f t="shared" si="72"/>
        <v>LC.</v>
      </c>
      <c r="AR550" s="509" t="str">
        <f t="shared" si="73"/>
        <v/>
      </c>
      <c r="AS550" s="511" t="str">
        <f t="shared" si="74"/>
        <v/>
      </c>
      <c r="AT550" s="513" t="str">
        <f t="shared" si="75"/>
        <v/>
      </c>
      <c r="AU550" s="515" t="str">
        <f t="shared" si="76"/>
        <v/>
      </c>
      <c r="AV550" s="517" t="str">
        <f t="shared" si="77"/>
        <v/>
      </c>
      <c r="AW550" s="589" t="str">
        <f>IFERROR(VLOOKUP(功能_33[[#This Row],[功能代號]],SIT_FT!D:D,1,FALSE),"")</f>
        <v>LC009</v>
      </c>
    </row>
    <row r="551" spans="1:49" ht="13.5" hidden="1" x14ac:dyDescent="0.3">
      <c r="C551" s="276" t="s">
        <v>2515</v>
      </c>
      <c r="D551" s="276" t="s">
        <v>2584</v>
      </c>
      <c r="E551" s="275" t="s">
        <v>1391</v>
      </c>
      <c r="F551" s="267" t="s">
        <v>1392</v>
      </c>
      <c r="G551" s="267" t="s">
        <v>1378</v>
      </c>
      <c r="H551" s="275" t="s">
        <v>122</v>
      </c>
      <c r="I551" s="275" t="s">
        <v>122</v>
      </c>
      <c r="J551" s="282" t="s">
        <v>2822</v>
      </c>
      <c r="K551" s="275" t="s">
        <v>3010</v>
      </c>
      <c r="L551" s="283"/>
      <c r="M551" s="215">
        <v>44533</v>
      </c>
      <c r="N551" s="283">
        <v>44533</v>
      </c>
      <c r="O551" s="283">
        <v>44545</v>
      </c>
      <c r="P551" s="275" t="s">
        <v>7</v>
      </c>
      <c r="Q551" s="275" t="s">
        <v>2821</v>
      </c>
      <c r="V551" s="275"/>
      <c r="X551" s="275"/>
      <c r="Y551" s="275"/>
      <c r="Z551" s="276" t="str">
        <f>VLOOKUP(功能_33[[#This Row],[User]],SKL放款!A:G,7,FALSE)</f>
        <v>放款服務課</v>
      </c>
      <c r="AA551" s="283">
        <v>44545</v>
      </c>
      <c r="AB551" s="283" t="s">
        <v>2574</v>
      </c>
      <c r="AC551" s="268">
        <v>44543</v>
      </c>
      <c r="AD551" s="283">
        <v>44543</v>
      </c>
      <c r="AE551" s="283">
        <v>44545</v>
      </c>
      <c r="AF551" s="269"/>
      <c r="AG551" s="269"/>
      <c r="AH551" s="269"/>
      <c r="AI551" s="269">
        <f>IFERROR(IF(VLOOKUP(功能_33[[#This Row],[功能代號]],E:S,11,FALSE)=0,"",VLOOKUP(功能_33[[#This Row],[功能代號]],E:S,11,FALSE)),"")</f>
        <v>44545</v>
      </c>
      <c r="AJ551" s="269"/>
      <c r="AK551" s="269"/>
      <c r="AL551" s="276"/>
      <c r="AN551" s="275" t="s">
        <v>2623</v>
      </c>
      <c r="AQ551" s="507" t="str">
        <f t="shared" si="72"/>
        <v>LC.</v>
      </c>
      <c r="AR551" s="509" t="str">
        <f t="shared" si="73"/>
        <v/>
      </c>
      <c r="AS551" s="511" t="str">
        <f t="shared" si="74"/>
        <v/>
      </c>
      <c r="AT551" s="513" t="str">
        <f t="shared" si="75"/>
        <v/>
      </c>
      <c r="AU551" s="515" t="str">
        <f t="shared" si="76"/>
        <v/>
      </c>
      <c r="AV551" s="517" t="str">
        <f t="shared" si="77"/>
        <v/>
      </c>
      <c r="AW551" s="589" t="str">
        <f>IFERROR(VLOOKUP(功能_33[[#This Row],[功能代號]],SIT_FT!D:D,1,FALSE),"")</f>
        <v/>
      </c>
    </row>
    <row r="552" spans="1:49" ht="13.5" hidden="1" x14ac:dyDescent="0.3">
      <c r="C552" s="276" t="s">
        <v>2515</v>
      </c>
      <c r="D552" s="276" t="s">
        <v>2584</v>
      </c>
      <c r="E552" s="275" t="s">
        <v>1393</v>
      </c>
      <c r="F552" s="267" t="s">
        <v>1394</v>
      </c>
      <c r="G552" s="267" t="s">
        <v>1378</v>
      </c>
      <c r="H552" s="275" t="s">
        <v>122</v>
      </c>
      <c r="I552" s="275" t="s">
        <v>122</v>
      </c>
      <c r="J552" s="282" t="s">
        <v>2822</v>
      </c>
      <c r="K552" s="275" t="s">
        <v>3010</v>
      </c>
      <c r="L552" s="283"/>
      <c r="M552" s="283">
        <v>44533</v>
      </c>
      <c r="N552" s="283">
        <v>44533</v>
      </c>
      <c r="O552" s="283">
        <v>44545</v>
      </c>
      <c r="P552" s="275" t="s">
        <v>7</v>
      </c>
      <c r="Q552" s="275" t="s">
        <v>2821</v>
      </c>
      <c r="V552" s="275"/>
      <c r="X552" s="275"/>
      <c r="Y552" s="275"/>
      <c r="Z552" s="276" t="str">
        <f>VLOOKUP(功能_33[[#This Row],[User]],SKL放款!A:G,7,FALSE)</f>
        <v>放款服務課</v>
      </c>
      <c r="AA552" s="283">
        <v>44545</v>
      </c>
      <c r="AB552" s="283" t="s">
        <v>2408</v>
      </c>
      <c r="AC552" s="268">
        <v>44543</v>
      </c>
      <c r="AD552" s="283">
        <v>44543</v>
      </c>
      <c r="AE552" s="283">
        <v>44545</v>
      </c>
      <c r="AF552" s="269"/>
      <c r="AG552" s="269"/>
      <c r="AH552" s="269"/>
      <c r="AI552" s="269">
        <f>IFERROR(IF(VLOOKUP(功能_33[[#This Row],[功能代號]],E:S,11,FALSE)=0,"",VLOOKUP(功能_33[[#This Row],[功能代號]],E:S,11,FALSE)),"")</f>
        <v>44545</v>
      </c>
      <c r="AJ552" s="269"/>
      <c r="AK552" s="269"/>
      <c r="AL552" s="276"/>
      <c r="AN552" s="275" t="s">
        <v>2623</v>
      </c>
      <c r="AQ552" s="507" t="str">
        <f t="shared" si="72"/>
        <v>LC.</v>
      </c>
      <c r="AR552" s="509" t="str">
        <f t="shared" si="73"/>
        <v/>
      </c>
      <c r="AS552" s="511" t="str">
        <f t="shared" si="74"/>
        <v/>
      </c>
      <c r="AT552" s="513" t="str">
        <f t="shared" si="75"/>
        <v/>
      </c>
      <c r="AU552" s="515" t="str">
        <f t="shared" si="76"/>
        <v/>
      </c>
      <c r="AV552" s="517" t="str">
        <f t="shared" si="77"/>
        <v/>
      </c>
      <c r="AW552" s="589" t="str">
        <f>IFERROR(VLOOKUP(功能_33[[#This Row],[功能代號]],SIT_FT!D:D,1,FALSE),"")</f>
        <v>LC011</v>
      </c>
    </row>
    <row r="553" spans="1:49" ht="13.5" hidden="1" x14ac:dyDescent="0.3">
      <c r="A553" s="561"/>
      <c r="B553" s="374"/>
      <c r="C553" s="276" t="s">
        <v>2515</v>
      </c>
      <c r="D553" s="276" t="s">
        <v>2584</v>
      </c>
      <c r="E553" s="275" t="s">
        <v>2800</v>
      </c>
      <c r="F553" s="267" t="s">
        <v>2801</v>
      </c>
      <c r="G553" s="267" t="s">
        <v>2809</v>
      </c>
      <c r="H553" s="275" t="s">
        <v>122</v>
      </c>
      <c r="I553" s="275" t="s">
        <v>122</v>
      </c>
      <c r="J553" s="282" t="s">
        <v>2822</v>
      </c>
      <c r="K553" s="275" t="s">
        <v>3010</v>
      </c>
      <c r="L553" s="283"/>
      <c r="M553" s="283">
        <v>44533</v>
      </c>
      <c r="N553" s="283">
        <v>44545</v>
      </c>
      <c r="O553" s="283">
        <v>44545</v>
      </c>
      <c r="P553" s="275" t="s">
        <v>7</v>
      </c>
      <c r="Q553" s="275" t="s">
        <v>2821</v>
      </c>
      <c r="V553" s="275"/>
      <c r="X553" s="275"/>
      <c r="Y553" s="275"/>
      <c r="Z553" s="374" t="str">
        <f>VLOOKUP(功能_33[[#This Row],[User]],SKL放款!A:G,7,FALSE)</f>
        <v>放款服務課</v>
      </c>
      <c r="AA553" s="283">
        <v>44545</v>
      </c>
      <c r="AB553" s="283" t="s">
        <v>2460</v>
      </c>
      <c r="AC553" s="268">
        <v>44543</v>
      </c>
      <c r="AD553" s="283">
        <v>44543</v>
      </c>
      <c r="AE553" s="283">
        <v>44545</v>
      </c>
      <c r="AF553" s="269"/>
      <c r="AG553" s="269"/>
      <c r="AH553" s="269"/>
      <c r="AI553" s="269">
        <f>IFERROR(IF(VLOOKUP(功能_33[[#This Row],[功能代號]],E:S,11,FALSE)=0,"",VLOOKUP(功能_33[[#This Row],[功能代號]],E:S,11,FALSE)),"")</f>
        <v>44545</v>
      </c>
      <c r="AJ553" s="269"/>
      <c r="AK553" s="269"/>
      <c r="AL553" s="374"/>
      <c r="AN553" s="275" t="s">
        <v>2623</v>
      </c>
      <c r="AO553" s="374"/>
      <c r="AQ553" s="562" t="str">
        <f t="shared" si="72"/>
        <v>LC.</v>
      </c>
      <c r="AR553" s="509" t="str">
        <f t="shared" si="73"/>
        <v/>
      </c>
      <c r="AS553" s="511" t="str">
        <f t="shared" si="74"/>
        <v/>
      </c>
      <c r="AT553" s="513" t="str">
        <f t="shared" si="75"/>
        <v/>
      </c>
      <c r="AU553" s="515" t="str">
        <f t="shared" si="76"/>
        <v/>
      </c>
      <c r="AV553" s="517" t="str">
        <f t="shared" si="77"/>
        <v/>
      </c>
      <c r="AW553" s="589" t="str">
        <f>IFERROR(VLOOKUP(功能_33[[#This Row],[功能代號]],SIT_FT!D:D,1,FALSE),"")</f>
        <v/>
      </c>
    </row>
    <row r="554" spans="1:49" ht="13.5" hidden="1" x14ac:dyDescent="0.3">
      <c r="A554" s="561"/>
      <c r="B554" s="374"/>
      <c r="C554" s="276" t="s">
        <v>2515</v>
      </c>
      <c r="D554" s="276" t="s">
        <v>2584</v>
      </c>
      <c r="E554" s="275" t="s">
        <v>2802</v>
      </c>
      <c r="F554" s="267" t="s">
        <v>2803</v>
      </c>
      <c r="G554" s="267" t="s">
        <v>2809</v>
      </c>
      <c r="H554" s="275" t="s">
        <v>122</v>
      </c>
      <c r="I554" s="275" t="s">
        <v>122</v>
      </c>
      <c r="J554" s="282" t="s">
        <v>2822</v>
      </c>
      <c r="K554" s="275" t="s">
        <v>3010</v>
      </c>
      <c r="L554" s="283"/>
      <c r="M554" s="283">
        <v>44533</v>
      </c>
      <c r="N554" s="283">
        <v>44545</v>
      </c>
      <c r="O554" s="283">
        <v>44545</v>
      </c>
      <c r="P554" s="275" t="s">
        <v>7</v>
      </c>
      <c r="Q554" s="275" t="s">
        <v>2821</v>
      </c>
      <c r="V554" s="275"/>
      <c r="X554" s="275"/>
      <c r="Y554" s="275"/>
      <c r="Z554" s="374" t="str">
        <f>VLOOKUP(功能_33[[#This Row],[User]],SKL放款!A:G,7,FALSE)</f>
        <v>放款服務課</v>
      </c>
      <c r="AA554" s="283">
        <v>44545</v>
      </c>
      <c r="AB554" s="283" t="s">
        <v>2460</v>
      </c>
      <c r="AC554" s="268">
        <v>44543</v>
      </c>
      <c r="AD554" s="283">
        <v>44543</v>
      </c>
      <c r="AE554" s="283">
        <v>44545</v>
      </c>
      <c r="AF554" s="269"/>
      <c r="AG554" s="269"/>
      <c r="AH554" s="269"/>
      <c r="AI554" s="269">
        <f>IFERROR(IF(VLOOKUP(功能_33[[#This Row],[功能代號]],E:S,11,FALSE)=0,"",VLOOKUP(功能_33[[#This Row],[功能代號]],E:S,11,FALSE)),"")</f>
        <v>44545</v>
      </c>
      <c r="AJ554" s="269"/>
      <c r="AK554" s="269"/>
      <c r="AL554" s="374"/>
      <c r="AN554" s="275" t="s">
        <v>2623</v>
      </c>
      <c r="AO554" s="374"/>
      <c r="AQ554" s="562" t="str">
        <f t="shared" si="72"/>
        <v>LC.</v>
      </c>
      <c r="AR554" s="509" t="str">
        <f t="shared" si="73"/>
        <v/>
      </c>
      <c r="AS554" s="511" t="str">
        <f t="shared" si="74"/>
        <v/>
      </c>
      <c r="AT554" s="513" t="str">
        <f t="shared" si="75"/>
        <v/>
      </c>
      <c r="AU554" s="515" t="str">
        <f t="shared" si="76"/>
        <v/>
      </c>
      <c r="AV554" s="517" t="str">
        <f t="shared" si="77"/>
        <v/>
      </c>
      <c r="AW554" s="589" t="str">
        <f>IFERROR(VLOOKUP(功能_33[[#This Row],[功能代號]],SIT_FT!D:D,1,FALSE),"")</f>
        <v/>
      </c>
    </row>
    <row r="555" spans="1:49" ht="13.5" hidden="1" x14ac:dyDescent="0.3">
      <c r="A555" s="561"/>
      <c r="B555" s="374"/>
      <c r="C555" s="276" t="s">
        <v>2515</v>
      </c>
      <c r="D555" s="276" t="s">
        <v>2584</v>
      </c>
      <c r="E555" s="275" t="s">
        <v>2804</v>
      </c>
      <c r="F555" s="267" t="s">
        <v>2805</v>
      </c>
      <c r="G555" s="267" t="s">
        <v>2809</v>
      </c>
      <c r="H555" s="275" t="s">
        <v>122</v>
      </c>
      <c r="I555" s="275" t="s">
        <v>122</v>
      </c>
      <c r="J555" s="282" t="s">
        <v>2822</v>
      </c>
      <c r="K555" s="275" t="s">
        <v>3010</v>
      </c>
      <c r="L555" s="283"/>
      <c r="M555" s="283">
        <v>44533</v>
      </c>
      <c r="N555" s="283">
        <v>44545</v>
      </c>
      <c r="O555" s="283">
        <v>44545</v>
      </c>
      <c r="P555" s="275" t="s">
        <v>7</v>
      </c>
      <c r="Q555" s="275" t="s">
        <v>2821</v>
      </c>
      <c r="V555" s="275"/>
      <c r="X555" s="275"/>
      <c r="Y555" s="275"/>
      <c r="Z555" s="374" t="str">
        <f>VLOOKUP(功能_33[[#This Row],[User]],SKL放款!A:G,7,FALSE)</f>
        <v>放款服務課</v>
      </c>
      <c r="AA555" s="283">
        <v>44545</v>
      </c>
      <c r="AB555" s="283" t="s">
        <v>2460</v>
      </c>
      <c r="AC555" s="268">
        <v>44543</v>
      </c>
      <c r="AD555" s="283">
        <v>44543</v>
      </c>
      <c r="AE555" s="283">
        <v>44545</v>
      </c>
      <c r="AF555" s="269"/>
      <c r="AG555" s="269"/>
      <c r="AH555" s="269"/>
      <c r="AI555" s="269">
        <f>IFERROR(IF(VLOOKUP(功能_33[[#This Row],[功能代號]],E:S,11,FALSE)=0,"",VLOOKUP(功能_33[[#This Row],[功能代號]],E:S,11,FALSE)),"")</f>
        <v>44545</v>
      </c>
      <c r="AJ555" s="269"/>
      <c r="AK555" s="269"/>
      <c r="AL555" s="374"/>
      <c r="AN555" s="275" t="s">
        <v>2623</v>
      </c>
      <c r="AO555" s="374"/>
      <c r="AQ555" s="562" t="str">
        <f t="shared" si="72"/>
        <v>LC.</v>
      </c>
      <c r="AR555" s="509" t="str">
        <f t="shared" si="73"/>
        <v/>
      </c>
      <c r="AS555" s="511" t="str">
        <f t="shared" si="74"/>
        <v/>
      </c>
      <c r="AT555" s="513" t="str">
        <f t="shared" si="75"/>
        <v/>
      </c>
      <c r="AU555" s="515" t="str">
        <f t="shared" si="76"/>
        <v/>
      </c>
      <c r="AV555" s="517" t="str">
        <f t="shared" si="77"/>
        <v/>
      </c>
      <c r="AW555" s="589" t="str">
        <f>IFERROR(VLOOKUP(功能_33[[#This Row],[功能代號]],SIT_FT!D:D,1,FALSE),"")</f>
        <v/>
      </c>
    </row>
    <row r="556" spans="1:49" ht="13.5" hidden="1" x14ac:dyDescent="0.3">
      <c r="A556" s="561"/>
      <c r="B556" s="374"/>
      <c r="C556" s="276" t="s">
        <v>2515</v>
      </c>
      <c r="D556" s="276" t="s">
        <v>2584</v>
      </c>
      <c r="E556" s="275" t="s">
        <v>2806</v>
      </c>
      <c r="F556" s="267" t="s">
        <v>2807</v>
      </c>
      <c r="G556" s="267" t="s">
        <v>2809</v>
      </c>
      <c r="H556" s="275" t="s">
        <v>122</v>
      </c>
      <c r="I556" s="275" t="s">
        <v>122</v>
      </c>
      <c r="J556" s="282" t="s">
        <v>2822</v>
      </c>
      <c r="K556" s="275" t="s">
        <v>3010</v>
      </c>
      <c r="L556" s="283"/>
      <c r="M556" s="283">
        <v>44533</v>
      </c>
      <c r="N556" s="283">
        <v>44545</v>
      </c>
      <c r="O556" s="283">
        <v>44545</v>
      </c>
      <c r="P556" s="275" t="s">
        <v>7</v>
      </c>
      <c r="Q556" s="275" t="s">
        <v>2821</v>
      </c>
      <c r="V556" s="275"/>
      <c r="X556" s="275"/>
      <c r="Y556" s="275"/>
      <c r="Z556" s="374" t="str">
        <f>VLOOKUP(功能_33[[#This Row],[User]],SKL放款!A:G,7,FALSE)</f>
        <v>放款服務課</v>
      </c>
      <c r="AA556" s="283">
        <v>44545</v>
      </c>
      <c r="AB556" s="283" t="s">
        <v>2460</v>
      </c>
      <c r="AC556" s="268">
        <v>44543</v>
      </c>
      <c r="AD556" s="283">
        <v>44543</v>
      </c>
      <c r="AE556" s="283">
        <v>44545</v>
      </c>
      <c r="AF556" s="269"/>
      <c r="AG556" s="269"/>
      <c r="AH556" s="269"/>
      <c r="AI556" s="269">
        <f>IFERROR(IF(VLOOKUP(功能_33[[#This Row],[功能代號]],E:S,11,FALSE)=0,"",VLOOKUP(功能_33[[#This Row],[功能代號]],E:S,11,FALSE)),"")</f>
        <v>44545</v>
      </c>
      <c r="AJ556" s="269"/>
      <c r="AK556" s="269"/>
      <c r="AL556" s="374"/>
      <c r="AN556" s="275" t="s">
        <v>2623</v>
      </c>
      <c r="AO556" s="374"/>
      <c r="AQ556" s="562" t="str">
        <f t="shared" si="72"/>
        <v>LC.</v>
      </c>
      <c r="AR556" s="509" t="str">
        <f t="shared" si="73"/>
        <v/>
      </c>
      <c r="AS556" s="511" t="str">
        <f t="shared" si="74"/>
        <v/>
      </c>
      <c r="AT556" s="513" t="str">
        <f t="shared" si="75"/>
        <v/>
      </c>
      <c r="AU556" s="515" t="str">
        <f t="shared" si="76"/>
        <v/>
      </c>
      <c r="AV556" s="517" t="str">
        <f t="shared" si="77"/>
        <v/>
      </c>
      <c r="AW556" s="589" t="str">
        <f>IFERROR(VLOOKUP(功能_33[[#This Row],[功能代號]],SIT_FT!D:D,1,FALSE),"")</f>
        <v/>
      </c>
    </row>
    <row r="557" spans="1:49" s="437" customFormat="1" x14ac:dyDescent="0.3">
      <c r="A557" s="538"/>
      <c r="C557" s="438"/>
      <c r="D557" s="439"/>
      <c r="F557" s="440"/>
      <c r="G557" s="440"/>
      <c r="I557" s="440"/>
      <c r="J557" s="441"/>
      <c r="K557" s="441"/>
      <c r="L557" s="441"/>
      <c r="M557" s="438"/>
      <c r="N557" s="442"/>
      <c r="O557" s="438"/>
      <c r="R557" s="443"/>
      <c r="S557" s="438"/>
      <c r="T557" s="438"/>
      <c r="U557" s="438"/>
      <c r="V557" s="442"/>
      <c r="W557" s="438"/>
      <c r="AA557" s="438"/>
      <c r="AB557" s="438"/>
      <c r="AE557" s="443"/>
      <c r="AG557" s="444"/>
      <c r="AH557" s="445"/>
      <c r="AJ557" s="440"/>
      <c r="AK557" s="440"/>
      <c r="AL557" s="440"/>
      <c r="AM557" s="446"/>
      <c r="AN557" s="438"/>
      <c r="AP557" s="436"/>
    </row>
    <row r="558" spans="1:49" ht="13.5" x14ac:dyDescent="0.3">
      <c r="A558" s="283"/>
      <c r="D558" s="276"/>
      <c r="F558" s="276"/>
      <c r="G558" s="276"/>
      <c r="I558" s="276"/>
      <c r="J558" s="282"/>
      <c r="K558" s="282"/>
      <c r="L558" s="282"/>
      <c r="N558" s="275"/>
      <c r="V558" s="275"/>
      <c r="AJ558" s="276"/>
      <c r="AK558" s="276"/>
      <c r="AL558" s="276"/>
      <c r="AQ558" s="563">
        <f t="shared" ref="AQ558:AV558" si="78">COUNTIF(AQ2:AQ556,"&gt;&lt;")</f>
        <v>550</v>
      </c>
      <c r="AR558" s="431">
        <f t="shared" si="78"/>
        <v>0</v>
      </c>
      <c r="AS558" s="431">
        <f t="shared" si="78"/>
        <v>0</v>
      </c>
      <c r="AT558" s="431">
        <f t="shared" si="78"/>
        <v>0</v>
      </c>
      <c r="AU558" s="431">
        <f t="shared" si="78"/>
        <v>4</v>
      </c>
      <c r="AV558" s="431">
        <f t="shared" si="78"/>
        <v>1</v>
      </c>
    </row>
    <row r="559" spans="1:49" x14ac:dyDescent="0.3">
      <c r="AV559" s="543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D329"/>
  <sheetViews>
    <sheetView workbookViewId="0">
      <selection activeCell="L21" sqref="L21"/>
    </sheetView>
  </sheetViews>
  <sheetFormatPr defaultRowHeight="14.5" x14ac:dyDescent="0.3"/>
  <cols>
    <col min="3" max="3" width="9.3984375" bestFit="1" customWidth="1"/>
    <col min="4" max="4" width="8.69921875" style="612"/>
  </cols>
  <sheetData>
    <row r="1" spans="3:4" x14ac:dyDescent="0.3">
      <c r="C1" t="s">
        <v>2965</v>
      </c>
      <c r="D1" s="612" t="s">
        <v>120</v>
      </c>
    </row>
    <row r="2" spans="3:4" x14ac:dyDescent="0.3">
      <c r="D2" s="612" t="s">
        <v>126</v>
      </c>
    </row>
    <row r="3" spans="3:4" x14ac:dyDescent="0.3">
      <c r="D3" s="612" t="s">
        <v>130</v>
      </c>
    </row>
    <row r="4" spans="3:4" x14ac:dyDescent="0.3">
      <c r="D4" s="612" t="s">
        <v>133</v>
      </c>
    </row>
    <row r="5" spans="3:4" x14ac:dyDescent="0.3">
      <c r="D5" s="612" t="s">
        <v>137</v>
      </c>
    </row>
    <row r="6" spans="3:4" x14ac:dyDescent="0.3">
      <c r="D6" s="612" t="s">
        <v>150</v>
      </c>
    </row>
    <row r="7" spans="3:4" x14ac:dyDescent="0.3">
      <c r="D7" s="612" t="s">
        <v>170</v>
      </c>
    </row>
    <row r="8" spans="3:4" x14ac:dyDescent="0.3">
      <c r="D8" s="612" t="s">
        <v>161</v>
      </c>
    </row>
    <row r="9" spans="3:4" x14ac:dyDescent="0.3">
      <c r="D9" s="612" t="s">
        <v>163</v>
      </c>
    </row>
    <row r="10" spans="3:4" x14ac:dyDescent="0.3">
      <c r="D10" s="612" t="s">
        <v>139</v>
      </c>
    </row>
    <row r="11" spans="3:4" x14ac:dyDescent="0.3">
      <c r="D11" s="612" t="s">
        <v>143</v>
      </c>
    </row>
    <row r="12" spans="3:4" x14ac:dyDescent="0.3">
      <c r="D12" s="612" t="s">
        <v>147</v>
      </c>
    </row>
    <row r="13" spans="3:4" x14ac:dyDescent="0.3">
      <c r="D13" s="612" t="s">
        <v>165</v>
      </c>
    </row>
    <row r="14" spans="3:4" x14ac:dyDescent="0.3">
      <c r="D14" s="612" t="s">
        <v>156</v>
      </c>
    </row>
    <row r="15" spans="3:4" x14ac:dyDescent="0.3">
      <c r="D15" s="612" t="s">
        <v>173</v>
      </c>
    </row>
    <row r="16" spans="3:4" x14ac:dyDescent="0.3">
      <c r="D16" s="612" t="s">
        <v>152</v>
      </c>
    </row>
    <row r="17" spans="4:4" x14ac:dyDescent="0.3">
      <c r="D17" s="612" t="s">
        <v>177</v>
      </c>
    </row>
    <row r="18" spans="4:4" x14ac:dyDescent="0.3">
      <c r="D18" s="612" t="s">
        <v>187</v>
      </c>
    </row>
    <row r="19" spans="4:4" x14ac:dyDescent="0.3">
      <c r="D19" s="612" t="s">
        <v>201</v>
      </c>
    </row>
    <row r="20" spans="4:4" x14ac:dyDescent="0.3">
      <c r="D20" s="612" t="s">
        <v>207</v>
      </c>
    </row>
    <row r="21" spans="4:4" x14ac:dyDescent="0.3">
      <c r="D21" s="612" t="s">
        <v>270</v>
      </c>
    </row>
    <row r="22" spans="4:4" x14ac:dyDescent="0.3">
      <c r="D22" s="612" t="s">
        <v>230</v>
      </c>
    </row>
    <row r="23" spans="4:4" x14ac:dyDescent="0.3">
      <c r="D23" s="612" t="s">
        <v>236</v>
      </c>
    </row>
    <row r="24" spans="4:4" x14ac:dyDescent="0.3">
      <c r="D24" s="612" t="s">
        <v>210</v>
      </c>
    </row>
    <row r="25" spans="4:4" x14ac:dyDescent="0.3">
      <c r="D25" s="612" t="s">
        <v>242</v>
      </c>
    </row>
    <row r="26" spans="4:4" x14ac:dyDescent="0.3">
      <c r="D26" s="612" t="s">
        <v>850</v>
      </c>
    </row>
    <row r="27" spans="4:4" x14ac:dyDescent="0.3">
      <c r="D27" s="612" t="s">
        <v>852</v>
      </c>
    </row>
    <row r="28" spans="4:4" x14ac:dyDescent="0.3">
      <c r="D28" s="612" t="s">
        <v>840</v>
      </c>
    </row>
    <row r="29" spans="4:4" x14ac:dyDescent="0.3">
      <c r="D29" s="612" t="s">
        <v>836</v>
      </c>
    </row>
    <row r="30" spans="4:4" x14ac:dyDescent="0.3">
      <c r="D30" s="612" t="s">
        <v>247</v>
      </c>
    </row>
    <row r="31" spans="4:4" x14ac:dyDescent="0.3">
      <c r="D31" s="612" t="s">
        <v>869</v>
      </c>
    </row>
    <row r="32" spans="4:4" x14ac:dyDescent="0.3">
      <c r="D32" s="612" t="s">
        <v>2957</v>
      </c>
    </row>
    <row r="33" spans="4:4" x14ac:dyDescent="0.3">
      <c r="D33" s="612" t="s">
        <v>323</v>
      </c>
    </row>
    <row r="34" spans="4:4" x14ac:dyDescent="0.3">
      <c r="D34" s="612" t="s">
        <v>415</v>
      </c>
    </row>
    <row r="35" spans="4:4" x14ac:dyDescent="0.3">
      <c r="D35" s="612" t="s">
        <v>422</v>
      </c>
    </row>
    <row r="36" spans="4:4" x14ac:dyDescent="0.3">
      <c r="D36" s="612" t="s">
        <v>333</v>
      </c>
    </row>
    <row r="37" spans="4:4" x14ac:dyDescent="0.3">
      <c r="D37" s="612" t="s">
        <v>291</v>
      </c>
    </row>
    <row r="38" spans="4:4" x14ac:dyDescent="0.3">
      <c r="D38" s="612" t="s">
        <v>863</v>
      </c>
    </row>
    <row r="39" spans="4:4" x14ac:dyDescent="0.3">
      <c r="D39" s="612" t="s">
        <v>718</v>
      </c>
    </row>
    <row r="40" spans="4:4" x14ac:dyDescent="0.3">
      <c r="D40" s="612" t="s">
        <v>185</v>
      </c>
    </row>
    <row r="41" spans="4:4" x14ac:dyDescent="0.3">
      <c r="D41" s="612" t="s">
        <v>191</v>
      </c>
    </row>
    <row r="42" spans="4:4" x14ac:dyDescent="0.3">
      <c r="D42" s="612" t="s">
        <v>198</v>
      </c>
    </row>
    <row r="43" spans="4:4" x14ac:dyDescent="0.3">
      <c r="D43" s="612" t="s">
        <v>232</v>
      </c>
    </row>
    <row r="44" spans="4:4" x14ac:dyDescent="0.3">
      <c r="D44" s="612" t="s">
        <v>238</v>
      </c>
    </row>
    <row r="45" spans="4:4" x14ac:dyDescent="0.3">
      <c r="D45" s="612" t="s">
        <v>195</v>
      </c>
    </row>
    <row r="46" spans="4:4" x14ac:dyDescent="0.3">
      <c r="D46" s="612" t="s">
        <v>193</v>
      </c>
    </row>
    <row r="47" spans="4:4" x14ac:dyDescent="0.3">
      <c r="D47" s="612" t="s">
        <v>204</v>
      </c>
    </row>
    <row r="48" spans="4:4" x14ac:dyDescent="0.3">
      <c r="D48" s="612" t="s">
        <v>244</v>
      </c>
    </row>
    <row r="49" spans="4:4" x14ac:dyDescent="0.3">
      <c r="D49" s="612" t="s">
        <v>855</v>
      </c>
    </row>
    <row r="50" spans="4:4" x14ac:dyDescent="0.3">
      <c r="D50" s="612" t="s">
        <v>214</v>
      </c>
    </row>
    <row r="51" spans="4:4" x14ac:dyDescent="0.3">
      <c r="D51" s="612" t="s">
        <v>844</v>
      </c>
    </row>
    <row r="52" spans="4:4" x14ac:dyDescent="0.3">
      <c r="D52" s="612" t="s">
        <v>846</v>
      </c>
    </row>
    <row r="53" spans="4:4" x14ac:dyDescent="0.3">
      <c r="D53" s="612" t="s">
        <v>249</v>
      </c>
    </row>
    <row r="54" spans="4:4" x14ac:dyDescent="0.3">
      <c r="D54" s="612" t="s">
        <v>274</v>
      </c>
    </row>
    <row r="55" spans="4:4" x14ac:dyDescent="0.3">
      <c r="D55" s="612" t="s">
        <v>278</v>
      </c>
    </row>
    <row r="56" spans="4:4" x14ac:dyDescent="0.3">
      <c r="D56" s="612" t="s">
        <v>283</v>
      </c>
    </row>
    <row r="57" spans="4:4" x14ac:dyDescent="0.3">
      <c r="D57" s="612" t="s">
        <v>257</v>
      </c>
    </row>
    <row r="58" spans="4:4" x14ac:dyDescent="0.3">
      <c r="D58" s="612" t="s">
        <v>259</v>
      </c>
    </row>
    <row r="59" spans="4:4" x14ac:dyDescent="0.3">
      <c r="D59" s="612" t="s">
        <v>272</v>
      </c>
    </row>
    <row r="60" spans="4:4" x14ac:dyDescent="0.3">
      <c r="D60" s="612" t="s">
        <v>268</v>
      </c>
    </row>
    <row r="61" spans="4:4" x14ac:dyDescent="0.3">
      <c r="D61" s="612" t="s">
        <v>871</v>
      </c>
    </row>
    <row r="62" spans="4:4" x14ac:dyDescent="0.3">
      <c r="D62" s="612" t="s">
        <v>326</v>
      </c>
    </row>
    <row r="63" spans="4:4" x14ac:dyDescent="0.3">
      <c r="D63" s="612" t="s">
        <v>721</v>
      </c>
    </row>
    <row r="64" spans="4:4" x14ac:dyDescent="0.3">
      <c r="D64" s="612" t="s">
        <v>724</v>
      </c>
    </row>
    <row r="65" spans="4:4" x14ac:dyDescent="0.3">
      <c r="D65" s="612" t="s">
        <v>715</v>
      </c>
    </row>
    <row r="66" spans="4:4" x14ac:dyDescent="0.3">
      <c r="D66" s="612" t="s">
        <v>329</v>
      </c>
    </row>
    <row r="67" spans="4:4" x14ac:dyDescent="0.3">
      <c r="D67" s="612" t="s">
        <v>733</v>
      </c>
    </row>
    <row r="68" spans="4:4" x14ac:dyDescent="0.3">
      <c r="D68" s="612" t="s">
        <v>736</v>
      </c>
    </row>
    <row r="69" spans="4:4" x14ac:dyDescent="0.3">
      <c r="D69" s="612" t="s">
        <v>739</v>
      </c>
    </row>
    <row r="70" spans="4:4" x14ac:dyDescent="0.3">
      <c r="D70" s="612" t="s">
        <v>419</v>
      </c>
    </row>
    <row r="71" spans="4:4" x14ac:dyDescent="0.3">
      <c r="D71" s="612" t="s">
        <v>287</v>
      </c>
    </row>
    <row r="72" spans="4:4" x14ac:dyDescent="0.3">
      <c r="D72" s="612" t="s">
        <v>866</v>
      </c>
    </row>
    <row r="73" spans="4:4" x14ac:dyDescent="0.3">
      <c r="D73" s="612" t="s">
        <v>227</v>
      </c>
    </row>
    <row r="74" spans="4:4" x14ac:dyDescent="0.3">
      <c r="D74" s="612" t="s">
        <v>216</v>
      </c>
    </row>
    <row r="75" spans="4:4" x14ac:dyDescent="0.3">
      <c r="D75" s="612" t="s">
        <v>858</v>
      </c>
    </row>
    <row r="76" spans="4:4" x14ac:dyDescent="0.3">
      <c r="D76" s="612" t="s">
        <v>254</v>
      </c>
    </row>
    <row r="77" spans="4:4" x14ac:dyDescent="0.3">
      <c r="D77" s="612" t="s">
        <v>276</v>
      </c>
    </row>
    <row r="78" spans="4:4" x14ac:dyDescent="0.3">
      <c r="D78" s="612" t="s">
        <v>281</v>
      </c>
    </row>
    <row r="79" spans="4:4" x14ac:dyDescent="0.3">
      <c r="D79" s="612" t="s">
        <v>285</v>
      </c>
    </row>
    <row r="80" spans="4:4" x14ac:dyDescent="0.3">
      <c r="D80" s="612" t="s">
        <v>261</v>
      </c>
    </row>
    <row r="81" spans="4:4" x14ac:dyDescent="0.3">
      <c r="D81" s="612" t="s">
        <v>264</v>
      </c>
    </row>
    <row r="82" spans="4:4" x14ac:dyDescent="0.3">
      <c r="D82" s="612" t="s">
        <v>266</v>
      </c>
    </row>
    <row r="83" spans="4:4" x14ac:dyDescent="0.3">
      <c r="D83" s="612" t="s">
        <v>234</v>
      </c>
    </row>
    <row r="84" spans="4:4" x14ac:dyDescent="0.3">
      <c r="D84" s="612" t="s">
        <v>240</v>
      </c>
    </row>
    <row r="85" spans="4:4" x14ac:dyDescent="0.3">
      <c r="D85" s="612" t="s">
        <v>224</v>
      </c>
    </row>
    <row r="86" spans="4:4" x14ac:dyDescent="0.3">
      <c r="D86" s="612" t="s">
        <v>727</v>
      </c>
    </row>
    <row r="87" spans="4:4" x14ac:dyDescent="0.3">
      <c r="D87" s="612" t="s">
        <v>730</v>
      </c>
    </row>
    <row r="88" spans="4:4" x14ac:dyDescent="0.3">
      <c r="D88" s="612" t="s">
        <v>861</v>
      </c>
    </row>
    <row r="89" spans="4:4" x14ac:dyDescent="0.3">
      <c r="D89" s="612" t="s">
        <v>321</v>
      </c>
    </row>
    <row r="90" spans="4:4" x14ac:dyDescent="0.3">
      <c r="D90" s="612" t="s">
        <v>316</v>
      </c>
    </row>
    <row r="91" spans="4:4" x14ac:dyDescent="0.3">
      <c r="D91" s="612" t="s">
        <v>304</v>
      </c>
    </row>
    <row r="92" spans="4:4" x14ac:dyDescent="0.3">
      <c r="D92" s="612" t="s">
        <v>692</v>
      </c>
    </row>
    <row r="93" spans="4:4" x14ac:dyDescent="0.3">
      <c r="D93" s="612" t="s">
        <v>343</v>
      </c>
    </row>
    <row r="94" spans="4:4" x14ac:dyDescent="0.3">
      <c r="D94" s="612" t="s">
        <v>408</v>
      </c>
    </row>
    <row r="95" spans="4:4" x14ac:dyDescent="0.3">
      <c r="D95" s="612" t="s">
        <v>411</v>
      </c>
    </row>
    <row r="96" spans="4:4" x14ac:dyDescent="0.3">
      <c r="D96" s="612" t="s">
        <v>312</v>
      </c>
    </row>
    <row r="97" spans="4:4" x14ac:dyDescent="0.3">
      <c r="D97" s="612" t="s">
        <v>306</v>
      </c>
    </row>
    <row r="98" spans="4:4" x14ac:dyDescent="0.3">
      <c r="D98" s="612" t="s">
        <v>308</v>
      </c>
    </row>
    <row r="99" spans="4:4" x14ac:dyDescent="0.3">
      <c r="D99" s="612" t="s">
        <v>694</v>
      </c>
    </row>
    <row r="100" spans="4:4" x14ac:dyDescent="0.3">
      <c r="D100" s="612" t="s">
        <v>696</v>
      </c>
    </row>
    <row r="101" spans="4:4" x14ac:dyDescent="0.3">
      <c r="D101" s="612" t="s">
        <v>385</v>
      </c>
    </row>
    <row r="102" spans="4:4" x14ac:dyDescent="0.3">
      <c r="D102" s="612" t="s">
        <v>388</v>
      </c>
    </row>
    <row r="103" spans="4:4" x14ac:dyDescent="0.3">
      <c r="D103" s="612" t="s">
        <v>699</v>
      </c>
    </row>
    <row r="104" spans="4:4" x14ac:dyDescent="0.3">
      <c r="D104" s="612" t="s">
        <v>2958</v>
      </c>
    </row>
    <row r="105" spans="4:4" x14ac:dyDescent="0.3">
      <c r="D105" s="612" t="s">
        <v>705</v>
      </c>
    </row>
    <row r="106" spans="4:4" x14ac:dyDescent="0.3">
      <c r="D106" s="612" t="s">
        <v>758</v>
      </c>
    </row>
    <row r="107" spans="4:4" x14ac:dyDescent="0.3">
      <c r="D107" s="612" t="s">
        <v>351</v>
      </c>
    </row>
    <row r="108" spans="4:4" x14ac:dyDescent="0.3">
      <c r="D108" s="612" t="s">
        <v>348</v>
      </c>
    </row>
    <row r="109" spans="4:4" x14ac:dyDescent="0.3">
      <c r="D109" s="612" t="s">
        <v>294</v>
      </c>
    </row>
    <row r="110" spans="4:4" x14ac:dyDescent="0.3">
      <c r="D110" s="612" t="s">
        <v>655</v>
      </c>
    </row>
    <row r="111" spans="4:4" x14ac:dyDescent="0.3">
      <c r="D111" s="612" t="s">
        <v>340</v>
      </c>
    </row>
    <row r="112" spans="4:4" x14ac:dyDescent="0.3">
      <c r="D112" s="612" t="s">
        <v>658</v>
      </c>
    </row>
    <row r="113" spans="4:4" x14ac:dyDescent="0.3">
      <c r="D113" s="612" t="s">
        <v>319</v>
      </c>
    </row>
    <row r="114" spans="4:4" x14ac:dyDescent="0.3">
      <c r="D114" s="612" t="s">
        <v>2959</v>
      </c>
    </row>
    <row r="115" spans="4:4" x14ac:dyDescent="0.3">
      <c r="D115" s="612" t="s">
        <v>673</v>
      </c>
    </row>
    <row r="116" spans="4:4" x14ac:dyDescent="0.3">
      <c r="D116" s="612" t="s">
        <v>676</v>
      </c>
    </row>
    <row r="117" spans="4:4" x14ac:dyDescent="0.3">
      <c r="D117" s="612" t="s">
        <v>683</v>
      </c>
    </row>
    <row r="118" spans="4:4" x14ac:dyDescent="0.3">
      <c r="D118" s="612" t="s">
        <v>686</v>
      </c>
    </row>
    <row r="119" spans="4:4" x14ac:dyDescent="0.3">
      <c r="D119" s="612" t="s">
        <v>689</v>
      </c>
    </row>
    <row r="120" spans="4:4" x14ac:dyDescent="0.3">
      <c r="D120" s="612" t="s">
        <v>345</v>
      </c>
    </row>
    <row r="121" spans="4:4" x14ac:dyDescent="0.3">
      <c r="D121" s="612" t="s">
        <v>413</v>
      </c>
    </row>
    <row r="122" spans="4:4" x14ac:dyDescent="0.3">
      <c r="D122" s="612" t="s">
        <v>357</v>
      </c>
    </row>
    <row r="123" spans="4:4" x14ac:dyDescent="0.3">
      <c r="D123" s="612" t="s">
        <v>633</v>
      </c>
    </row>
    <row r="124" spans="4:4" x14ac:dyDescent="0.3">
      <c r="D124" s="612" t="s">
        <v>826</v>
      </c>
    </row>
    <row r="125" spans="4:4" x14ac:dyDescent="0.3">
      <c r="D125" s="612" t="s">
        <v>815</v>
      </c>
    </row>
    <row r="126" spans="4:4" x14ac:dyDescent="0.3">
      <c r="D126" s="612" t="s">
        <v>369</v>
      </c>
    </row>
    <row r="127" spans="4:4" x14ac:dyDescent="0.3">
      <c r="D127" s="612" t="s">
        <v>381</v>
      </c>
    </row>
    <row r="128" spans="4:4" x14ac:dyDescent="0.3">
      <c r="D128" s="612" t="s">
        <v>365</v>
      </c>
    </row>
    <row r="129" spans="4:4" x14ac:dyDescent="0.3">
      <c r="D129" s="612" t="s">
        <v>377</v>
      </c>
    </row>
    <row r="130" spans="4:4" x14ac:dyDescent="0.3">
      <c r="D130" s="612" t="s">
        <v>426</v>
      </c>
    </row>
    <row r="131" spans="4:4" x14ac:dyDescent="0.3">
      <c r="D131" s="612" t="s">
        <v>355</v>
      </c>
    </row>
    <row r="132" spans="4:4" x14ac:dyDescent="0.3">
      <c r="D132" s="612" t="s">
        <v>391</v>
      </c>
    </row>
    <row r="133" spans="4:4" x14ac:dyDescent="0.3">
      <c r="D133" s="612" t="s">
        <v>394</v>
      </c>
    </row>
    <row r="134" spans="4:4" x14ac:dyDescent="0.3">
      <c r="D134" s="612" t="s">
        <v>623</v>
      </c>
    </row>
    <row r="135" spans="4:4" x14ac:dyDescent="0.3">
      <c r="D135" s="612" t="s">
        <v>665</v>
      </c>
    </row>
    <row r="136" spans="4:4" x14ac:dyDescent="0.3">
      <c r="D136" s="612" t="s">
        <v>646</v>
      </c>
    </row>
    <row r="137" spans="4:4" x14ac:dyDescent="0.3">
      <c r="D137" s="612" t="s">
        <v>648</v>
      </c>
    </row>
    <row r="138" spans="4:4" x14ac:dyDescent="0.3">
      <c r="D138" s="612" t="s">
        <v>629</v>
      </c>
    </row>
    <row r="139" spans="4:4" x14ac:dyDescent="0.3">
      <c r="D139" s="612" t="s">
        <v>631</v>
      </c>
    </row>
    <row r="140" spans="4:4" x14ac:dyDescent="0.3">
      <c r="D140" s="612" t="s">
        <v>636</v>
      </c>
    </row>
    <row r="141" spans="4:4" x14ac:dyDescent="0.3">
      <c r="D141" s="612" t="s">
        <v>638</v>
      </c>
    </row>
    <row r="142" spans="4:4" x14ac:dyDescent="0.3">
      <c r="D142" s="612" t="s">
        <v>661</v>
      </c>
    </row>
    <row r="143" spans="4:4" x14ac:dyDescent="0.3">
      <c r="D143" s="612" t="s">
        <v>2950</v>
      </c>
    </row>
    <row r="144" spans="4:4" x14ac:dyDescent="0.3">
      <c r="D144" s="612" t="s">
        <v>813</v>
      </c>
    </row>
    <row r="145" spans="4:4" x14ac:dyDescent="0.3">
      <c r="D145" s="612" t="s">
        <v>817</v>
      </c>
    </row>
    <row r="146" spans="4:4" x14ac:dyDescent="0.3">
      <c r="D146" s="612" t="s">
        <v>811</v>
      </c>
    </row>
    <row r="147" spans="4:4" x14ac:dyDescent="0.3">
      <c r="D147" s="612" t="s">
        <v>819</v>
      </c>
    </row>
    <row r="148" spans="4:4" x14ac:dyDescent="0.3">
      <c r="D148" s="612" t="s">
        <v>367</v>
      </c>
    </row>
    <row r="149" spans="4:4" x14ac:dyDescent="0.3">
      <c r="D149" s="612" t="s">
        <v>379</v>
      </c>
    </row>
    <row r="150" spans="4:4" x14ac:dyDescent="0.3">
      <c r="D150" s="612" t="s">
        <v>371</v>
      </c>
    </row>
    <row r="151" spans="4:4" x14ac:dyDescent="0.3">
      <c r="D151" s="612" t="s">
        <v>452</v>
      </c>
    </row>
    <row r="152" spans="4:4" x14ac:dyDescent="0.3">
      <c r="D152" s="612" t="s">
        <v>458</v>
      </c>
    </row>
    <row r="153" spans="4:4" x14ac:dyDescent="0.3">
      <c r="D153" s="612" t="s">
        <v>460</v>
      </c>
    </row>
    <row r="154" spans="4:4" x14ac:dyDescent="0.3">
      <c r="D154" s="612" t="s">
        <v>462</v>
      </c>
    </row>
    <row r="155" spans="4:4" x14ac:dyDescent="0.3">
      <c r="D155" s="612" t="s">
        <v>650</v>
      </c>
    </row>
    <row r="156" spans="4:4" x14ac:dyDescent="0.3">
      <c r="D156" s="612" t="s">
        <v>652</v>
      </c>
    </row>
    <row r="157" spans="4:4" x14ac:dyDescent="0.3">
      <c r="D157" s="612" t="s">
        <v>611</v>
      </c>
    </row>
    <row r="158" spans="4:4" x14ac:dyDescent="0.3">
      <c r="D158" s="612" t="s">
        <v>615</v>
      </c>
    </row>
    <row r="159" spans="4:4" x14ac:dyDescent="0.3">
      <c r="D159" s="612" t="s">
        <v>621</v>
      </c>
    </row>
    <row r="160" spans="4:4" x14ac:dyDescent="0.3">
      <c r="D160" s="612" t="s">
        <v>619</v>
      </c>
    </row>
    <row r="161" spans="4:4" x14ac:dyDescent="0.3">
      <c r="D161" s="612" t="s">
        <v>626</v>
      </c>
    </row>
    <row r="162" spans="4:4" x14ac:dyDescent="0.3">
      <c r="D162" s="612" t="s">
        <v>430</v>
      </c>
    </row>
    <row r="163" spans="4:4" x14ac:dyDescent="0.3">
      <c r="D163" s="612" t="s">
        <v>432</v>
      </c>
    </row>
    <row r="164" spans="4:4" x14ac:dyDescent="0.3">
      <c r="D164" s="612" t="s">
        <v>436</v>
      </c>
    </row>
    <row r="165" spans="4:4" x14ac:dyDescent="0.3">
      <c r="D165" s="612" t="s">
        <v>438</v>
      </c>
    </row>
    <row r="166" spans="4:4" x14ac:dyDescent="0.3">
      <c r="D166" s="612" t="s">
        <v>743</v>
      </c>
    </row>
    <row r="167" spans="4:4" x14ac:dyDescent="0.3">
      <c r="D167" s="612" t="s">
        <v>745</v>
      </c>
    </row>
    <row r="168" spans="4:4" x14ac:dyDescent="0.3">
      <c r="D168" s="612" t="s">
        <v>747</v>
      </c>
    </row>
    <row r="169" spans="4:4" x14ac:dyDescent="0.3">
      <c r="D169" s="612" t="s">
        <v>749</v>
      </c>
    </row>
    <row r="170" spans="4:4" x14ac:dyDescent="0.3">
      <c r="D170" s="612" t="s">
        <v>428</v>
      </c>
    </row>
    <row r="171" spans="4:4" x14ac:dyDescent="0.3">
      <c r="D171" s="612" t="s">
        <v>434</v>
      </c>
    </row>
    <row r="172" spans="4:4" x14ac:dyDescent="0.3">
      <c r="D172" s="612" t="s">
        <v>406</v>
      </c>
    </row>
    <row r="173" spans="4:4" x14ac:dyDescent="0.3">
      <c r="D173" s="612" t="s">
        <v>669</v>
      </c>
    </row>
    <row r="174" spans="4:4" x14ac:dyDescent="0.3">
      <c r="D174" s="612" t="s">
        <v>671</v>
      </c>
    </row>
    <row r="175" spans="4:4" x14ac:dyDescent="0.3">
      <c r="D175" s="612" t="s">
        <v>824</v>
      </c>
    </row>
    <row r="176" spans="4:4" x14ac:dyDescent="0.3">
      <c r="D176" s="612" t="s">
        <v>359</v>
      </c>
    </row>
    <row r="177" spans="4:4" x14ac:dyDescent="0.3">
      <c r="D177" s="612" t="s">
        <v>640</v>
      </c>
    </row>
    <row r="178" spans="4:4" x14ac:dyDescent="0.3">
      <c r="D178" s="612" t="s">
        <v>663</v>
      </c>
    </row>
    <row r="179" spans="4:4" x14ac:dyDescent="0.3">
      <c r="D179" s="612" t="s">
        <v>397</v>
      </c>
    </row>
    <row r="180" spans="4:4" x14ac:dyDescent="0.3">
      <c r="D180" s="612" t="s">
        <v>399</v>
      </c>
    </row>
    <row r="181" spans="4:4" x14ac:dyDescent="0.3">
      <c r="D181" s="612" t="s">
        <v>642</v>
      </c>
    </row>
    <row r="182" spans="4:4" x14ac:dyDescent="0.3">
      <c r="D182" s="612" t="s">
        <v>667</v>
      </c>
    </row>
    <row r="183" spans="4:4" x14ac:dyDescent="0.3">
      <c r="D183" s="612" t="s">
        <v>644</v>
      </c>
    </row>
    <row r="184" spans="4:4" x14ac:dyDescent="0.3">
      <c r="D184" s="612" t="s">
        <v>822</v>
      </c>
    </row>
    <row r="185" spans="4:4" x14ac:dyDescent="0.3">
      <c r="D185" s="612" t="s">
        <v>373</v>
      </c>
    </row>
    <row r="186" spans="4:4" x14ac:dyDescent="0.3">
      <c r="D186" s="612" t="s">
        <v>375</v>
      </c>
    </row>
    <row r="187" spans="4:4" x14ac:dyDescent="0.3">
      <c r="D187" s="612" t="s">
        <v>383</v>
      </c>
    </row>
    <row r="188" spans="4:4" x14ac:dyDescent="0.3">
      <c r="D188" s="612" t="s">
        <v>455</v>
      </c>
    </row>
    <row r="189" spans="4:4" x14ac:dyDescent="0.3">
      <c r="D189" s="612" t="s">
        <v>613</v>
      </c>
    </row>
    <row r="190" spans="4:4" x14ac:dyDescent="0.3">
      <c r="D190" s="612" t="s">
        <v>617</v>
      </c>
    </row>
    <row r="191" spans="4:4" x14ac:dyDescent="0.3">
      <c r="D191" s="612" t="s">
        <v>443</v>
      </c>
    </row>
    <row r="192" spans="4:4" x14ac:dyDescent="0.3">
      <c r="D192" s="612" t="s">
        <v>445</v>
      </c>
    </row>
    <row r="193" spans="4:4" x14ac:dyDescent="0.3">
      <c r="D193" s="612" t="s">
        <v>440</v>
      </c>
    </row>
    <row r="194" spans="4:4" x14ac:dyDescent="0.3">
      <c r="D194" s="612" t="s">
        <v>447</v>
      </c>
    </row>
    <row r="195" spans="4:4" x14ac:dyDescent="0.3">
      <c r="D195" s="612" t="s">
        <v>449</v>
      </c>
    </row>
    <row r="196" spans="4:4" x14ac:dyDescent="0.3">
      <c r="D196" s="612" t="s">
        <v>751</v>
      </c>
    </row>
    <row r="197" spans="4:4" x14ac:dyDescent="0.3">
      <c r="D197" s="612" t="s">
        <v>1005</v>
      </c>
    </row>
    <row r="198" spans="4:4" x14ac:dyDescent="0.3">
      <c r="D198" s="612" t="s">
        <v>1017</v>
      </c>
    </row>
    <row r="199" spans="4:4" x14ac:dyDescent="0.3">
      <c r="D199" s="612" t="s">
        <v>1009</v>
      </c>
    </row>
    <row r="200" spans="4:4" x14ac:dyDescent="0.3">
      <c r="D200" s="612" t="s">
        <v>1013</v>
      </c>
    </row>
    <row r="201" spans="4:4" x14ac:dyDescent="0.3">
      <c r="D201" s="612" t="s">
        <v>1058</v>
      </c>
    </row>
    <row r="202" spans="4:4" x14ac:dyDescent="0.3">
      <c r="D202" s="612" t="s">
        <v>959</v>
      </c>
    </row>
    <row r="203" spans="4:4" x14ac:dyDescent="0.3">
      <c r="D203" s="612" t="s">
        <v>966</v>
      </c>
    </row>
    <row r="204" spans="4:4" x14ac:dyDescent="0.3">
      <c r="D204" s="612" t="s">
        <v>985</v>
      </c>
    </row>
    <row r="205" spans="4:4" x14ac:dyDescent="0.3">
      <c r="D205" s="612" t="s">
        <v>1007</v>
      </c>
    </row>
    <row r="206" spans="4:4" x14ac:dyDescent="0.3">
      <c r="D206" s="612" t="s">
        <v>1003</v>
      </c>
    </row>
    <row r="207" spans="4:4" x14ac:dyDescent="0.3">
      <c r="D207" s="612" t="s">
        <v>1015</v>
      </c>
    </row>
    <row r="208" spans="4:4" x14ac:dyDescent="0.3">
      <c r="D208" s="612" t="s">
        <v>1011</v>
      </c>
    </row>
    <row r="209" spans="4:4" x14ac:dyDescent="0.3">
      <c r="D209" s="612" t="s">
        <v>1021</v>
      </c>
    </row>
    <row r="210" spans="4:4" x14ac:dyDescent="0.3">
      <c r="D210" s="612" t="s">
        <v>1060</v>
      </c>
    </row>
    <row r="211" spans="4:4" x14ac:dyDescent="0.3">
      <c r="D211" s="612" t="s">
        <v>955</v>
      </c>
    </row>
    <row r="212" spans="4:4" x14ac:dyDescent="0.3">
      <c r="D212" s="612" t="s">
        <v>962</v>
      </c>
    </row>
    <row r="213" spans="4:4" x14ac:dyDescent="0.3">
      <c r="D213" s="612" t="s">
        <v>983</v>
      </c>
    </row>
    <row r="214" spans="4:4" x14ac:dyDescent="0.3">
      <c r="D214" s="612" t="s">
        <v>1084</v>
      </c>
    </row>
    <row r="215" spans="4:4" x14ac:dyDescent="0.3">
      <c r="D215" s="612" t="s">
        <v>1086</v>
      </c>
    </row>
    <row r="216" spans="4:4" x14ac:dyDescent="0.3">
      <c r="D216" s="612" t="s">
        <v>1019</v>
      </c>
    </row>
    <row r="217" spans="4:4" x14ac:dyDescent="0.3">
      <c r="D217" s="612" t="s">
        <v>361</v>
      </c>
    </row>
    <row r="218" spans="4:4" x14ac:dyDescent="0.3">
      <c r="D218" s="612" t="s">
        <v>335</v>
      </c>
    </row>
    <row r="219" spans="4:4" x14ac:dyDescent="0.3">
      <c r="D219" s="612" t="s">
        <v>2939</v>
      </c>
    </row>
    <row r="220" spans="4:4" x14ac:dyDescent="0.3">
      <c r="D220" s="612" t="s">
        <v>528</v>
      </c>
    </row>
    <row r="221" spans="4:4" x14ac:dyDescent="0.3">
      <c r="D221" s="612" t="s">
        <v>828</v>
      </c>
    </row>
    <row r="222" spans="4:4" x14ac:dyDescent="0.3">
      <c r="D222" s="612" t="s">
        <v>830</v>
      </c>
    </row>
    <row r="223" spans="4:4" x14ac:dyDescent="0.3">
      <c r="D223" s="612" t="s">
        <v>1107</v>
      </c>
    </row>
    <row r="224" spans="4:4" x14ac:dyDescent="0.3">
      <c r="D224" s="612" t="s">
        <v>1088</v>
      </c>
    </row>
    <row r="225" spans="4:4" x14ac:dyDescent="0.3">
      <c r="D225" s="612" t="s">
        <v>1096</v>
      </c>
    </row>
    <row r="226" spans="4:4" x14ac:dyDescent="0.3">
      <c r="D226" s="612" t="s">
        <v>1113</v>
      </c>
    </row>
    <row r="227" spans="4:4" x14ac:dyDescent="0.3">
      <c r="D227" s="612" t="s">
        <v>606</v>
      </c>
    </row>
    <row r="228" spans="4:4" x14ac:dyDescent="0.3">
      <c r="D228" s="612" t="s">
        <v>536</v>
      </c>
    </row>
    <row r="229" spans="4:4" x14ac:dyDescent="0.3">
      <c r="D229" s="612" t="s">
        <v>569</v>
      </c>
    </row>
    <row r="230" spans="4:4" x14ac:dyDescent="0.3">
      <c r="D230" s="612" t="s">
        <v>551</v>
      </c>
    </row>
    <row r="231" spans="4:4" x14ac:dyDescent="0.3">
      <c r="D231" s="612" t="s">
        <v>532</v>
      </c>
    </row>
    <row r="232" spans="4:4" x14ac:dyDescent="0.3">
      <c r="D232" s="612" t="s">
        <v>578</v>
      </c>
    </row>
    <row r="233" spans="4:4" x14ac:dyDescent="0.3">
      <c r="D233" s="612" t="s">
        <v>583</v>
      </c>
    </row>
    <row r="234" spans="4:4" x14ac:dyDescent="0.3">
      <c r="D234" s="612" t="s">
        <v>558</v>
      </c>
    </row>
    <row r="235" spans="4:4" x14ac:dyDescent="0.3">
      <c r="D235" s="612" t="s">
        <v>1092</v>
      </c>
    </row>
    <row r="236" spans="4:4" x14ac:dyDescent="0.3">
      <c r="D236" s="612" t="s">
        <v>2951</v>
      </c>
    </row>
    <row r="237" spans="4:4" x14ac:dyDescent="0.3">
      <c r="D237" s="612" t="s">
        <v>219</v>
      </c>
    </row>
    <row r="238" spans="4:4" x14ac:dyDescent="0.3">
      <c r="D238" s="612" t="s">
        <v>589</v>
      </c>
    </row>
    <row r="239" spans="4:4" x14ac:dyDescent="0.3">
      <c r="D239" s="612" t="s">
        <v>1102</v>
      </c>
    </row>
    <row r="240" spans="4:4" x14ac:dyDescent="0.3">
      <c r="D240" s="612" t="s">
        <v>594</v>
      </c>
    </row>
    <row r="241" spans="4:4" x14ac:dyDescent="0.3">
      <c r="D241" s="612" t="s">
        <v>574</v>
      </c>
    </row>
    <row r="242" spans="4:4" x14ac:dyDescent="0.3">
      <c r="D242" s="612" t="s">
        <v>564</v>
      </c>
    </row>
    <row r="243" spans="4:4" x14ac:dyDescent="0.3">
      <c r="D243" s="612" t="s">
        <v>542</v>
      </c>
    </row>
    <row r="244" spans="4:4" x14ac:dyDescent="0.3">
      <c r="D244" s="612" t="s">
        <v>547</v>
      </c>
    </row>
    <row r="245" spans="4:4" x14ac:dyDescent="0.3">
      <c r="D245" s="612" t="s">
        <v>600</v>
      </c>
    </row>
    <row r="246" spans="4:4" x14ac:dyDescent="0.3">
      <c r="D246" s="612" t="s">
        <v>1031</v>
      </c>
    </row>
    <row r="247" spans="4:4" x14ac:dyDescent="0.3">
      <c r="D247" s="612" t="s">
        <v>995</v>
      </c>
    </row>
    <row r="248" spans="4:4" x14ac:dyDescent="0.3">
      <c r="D248" s="612" t="s">
        <v>1023</v>
      </c>
    </row>
    <row r="249" spans="4:4" x14ac:dyDescent="0.3">
      <c r="D249" s="612" t="s">
        <v>519</v>
      </c>
    </row>
    <row r="250" spans="4:4" x14ac:dyDescent="0.3">
      <c r="D250" s="612" t="s">
        <v>526</v>
      </c>
    </row>
    <row r="251" spans="4:4" x14ac:dyDescent="0.3">
      <c r="D251" s="612" t="s">
        <v>1035</v>
      </c>
    </row>
    <row r="252" spans="4:4" x14ac:dyDescent="0.3">
      <c r="D252" s="612" t="s">
        <v>2941</v>
      </c>
    </row>
    <row r="253" spans="4:4" x14ac:dyDescent="0.3">
      <c r="D253" s="612" t="s">
        <v>401</v>
      </c>
    </row>
    <row r="254" spans="4:4" x14ac:dyDescent="0.3">
      <c r="D254" s="612" t="s">
        <v>1100</v>
      </c>
    </row>
    <row r="255" spans="4:4" x14ac:dyDescent="0.3">
      <c r="D255" s="612" t="s">
        <v>1111</v>
      </c>
    </row>
    <row r="256" spans="4:4" x14ac:dyDescent="0.3">
      <c r="D256" s="612" t="s">
        <v>2960</v>
      </c>
    </row>
    <row r="257" spans="4:4" x14ac:dyDescent="0.3">
      <c r="D257" s="612" t="s">
        <v>2961</v>
      </c>
    </row>
    <row r="258" spans="4:4" x14ac:dyDescent="0.3">
      <c r="D258" s="612" t="s">
        <v>766</v>
      </c>
    </row>
    <row r="259" spans="4:4" x14ac:dyDescent="0.3">
      <c r="D259" s="612" t="s">
        <v>338</v>
      </c>
    </row>
    <row r="260" spans="4:4" x14ac:dyDescent="0.3">
      <c r="D260" s="612" t="s">
        <v>2940</v>
      </c>
    </row>
    <row r="261" spans="4:4" x14ac:dyDescent="0.3">
      <c r="D261" s="612" t="s">
        <v>832</v>
      </c>
    </row>
    <row r="262" spans="4:4" x14ac:dyDescent="0.3">
      <c r="D262" s="612" t="s">
        <v>834</v>
      </c>
    </row>
    <row r="263" spans="4:4" x14ac:dyDescent="0.3">
      <c r="D263" s="612" t="s">
        <v>530</v>
      </c>
    </row>
    <row r="264" spans="4:4" x14ac:dyDescent="0.3">
      <c r="D264" s="612" t="s">
        <v>1109</v>
      </c>
    </row>
    <row r="265" spans="4:4" x14ac:dyDescent="0.3">
      <c r="D265" s="612" t="s">
        <v>1090</v>
      </c>
    </row>
    <row r="266" spans="4:4" x14ac:dyDescent="0.3">
      <c r="D266" s="612" t="s">
        <v>1098</v>
      </c>
    </row>
    <row r="267" spans="4:4" x14ac:dyDescent="0.3">
      <c r="D267" s="612" t="s">
        <v>1039</v>
      </c>
    </row>
    <row r="268" spans="4:4" x14ac:dyDescent="0.3">
      <c r="D268" s="612" t="s">
        <v>608</v>
      </c>
    </row>
    <row r="269" spans="4:4" x14ac:dyDescent="0.3">
      <c r="D269" s="612" t="s">
        <v>1041</v>
      </c>
    </row>
    <row r="270" spans="4:4" x14ac:dyDescent="0.3">
      <c r="D270" s="612" t="s">
        <v>1044</v>
      </c>
    </row>
    <row r="271" spans="4:4" x14ac:dyDescent="0.3">
      <c r="D271" s="612" t="s">
        <v>1047</v>
      </c>
    </row>
    <row r="272" spans="4:4" x14ac:dyDescent="0.3">
      <c r="D272" s="612" t="s">
        <v>1049</v>
      </c>
    </row>
    <row r="273" spans="4:4" x14ac:dyDescent="0.3">
      <c r="D273" s="612" t="s">
        <v>540</v>
      </c>
    </row>
    <row r="274" spans="4:4" x14ac:dyDescent="0.3">
      <c r="D274" s="612" t="s">
        <v>573</v>
      </c>
    </row>
    <row r="275" spans="4:4" x14ac:dyDescent="0.3">
      <c r="D275" s="612" t="s">
        <v>556</v>
      </c>
    </row>
    <row r="276" spans="4:4" x14ac:dyDescent="0.3">
      <c r="D276" s="612" t="s">
        <v>534</v>
      </c>
    </row>
    <row r="277" spans="4:4" x14ac:dyDescent="0.3">
      <c r="D277" s="612" t="s">
        <v>582</v>
      </c>
    </row>
    <row r="278" spans="4:4" x14ac:dyDescent="0.3">
      <c r="D278" s="612" t="s">
        <v>587</v>
      </c>
    </row>
    <row r="279" spans="4:4" x14ac:dyDescent="0.3">
      <c r="D279" s="612" t="s">
        <v>562</v>
      </c>
    </row>
    <row r="280" spans="4:4" x14ac:dyDescent="0.3">
      <c r="D280" s="612" t="s">
        <v>1094</v>
      </c>
    </row>
    <row r="281" spans="4:4" x14ac:dyDescent="0.3">
      <c r="D281" s="612" t="s">
        <v>222</v>
      </c>
    </row>
    <row r="282" spans="4:4" x14ac:dyDescent="0.3">
      <c r="D282" s="612" t="s">
        <v>593</v>
      </c>
    </row>
    <row r="283" spans="4:4" x14ac:dyDescent="0.3">
      <c r="D283" s="612" t="s">
        <v>1106</v>
      </c>
    </row>
    <row r="284" spans="4:4" x14ac:dyDescent="0.3">
      <c r="D284" s="612" t="s">
        <v>598</v>
      </c>
    </row>
    <row r="285" spans="4:4" x14ac:dyDescent="0.3">
      <c r="D285" s="612" t="s">
        <v>576</v>
      </c>
    </row>
    <row r="286" spans="4:4" x14ac:dyDescent="0.3">
      <c r="D286" s="612" t="s">
        <v>568</v>
      </c>
    </row>
    <row r="287" spans="4:4" x14ac:dyDescent="0.3">
      <c r="D287" s="612" t="s">
        <v>546</v>
      </c>
    </row>
    <row r="288" spans="4:4" x14ac:dyDescent="0.3">
      <c r="D288" s="612" t="s">
        <v>549</v>
      </c>
    </row>
    <row r="289" spans="4:4" x14ac:dyDescent="0.3">
      <c r="D289" s="612" t="s">
        <v>604</v>
      </c>
    </row>
    <row r="290" spans="4:4" x14ac:dyDescent="0.3">
      <c r="D290" s="612" t="s">
        <v>1033</v>
      </c>
    </row>
    <row r="291" spans="4:4" x14ac:dyDescent="0.3">
      <c r="D291" s="612" t="s">
        <v>1000</v>
      </c>
    </row>
    <row r="292" spans="4:4" x14ac:dyDescent="0.3">
      <c r="D292" s="612" t="s">
        <v>1027</v>
      </c>
    </row>
    <row r="293" spans="4:4" x14ac:dyDescent="0.3">
      <c r="D293" s="612" t="s">
        <v>524</v>
      </c>
    </row>
    <row r="294" spans="4:4" x14ac:dyDescent="0.3">
      <c r="D294" s="612" t="s">
        <v>1029</v>
      </c>
    </row>
    <row r="295" spans="4:4" x14ac:dyDescent="0.3">
      <c r="D295" s="612" t="s">
        <v>1037</v>
      </c>
    </row>
    <row r="296" spans="4:4" x14ac:dyDescent="0.3">
      <c r="D296" s="612" t="s">
        <v>770</v>
      </c>
    </row>
    <row r="297" spans="4:4" x14ac:dyDescent="0.3">
      <c r="D297" s="612" t="s">
        <v>772</v>
      </c>
    </row>
    <row r="298" spans="4:4" x14ac:dyDescent="0.3">
      <c r="D298" s="612" t="s">
        <v>774</v>
      </c>
    </row>
    <row r="299" spans="4:4" x14ac:dyDescent="0.3">
      <c r="D299" s="612" t="s">
        <v>776</v>
      </c>
    </row>
    <row r="300" spans="4:4" x14ac:dyDescent="0.3">
      <c r="D300" s="612" t="s">
        <v>778</v>
      </c>
    </row>
    <row r="301" spans="4:4" x14ac:dyDescent="0.3">
      <c r="D301" s="612" t="s">
        <v>781</v>
      </c>
    </row>
    <row r="302" spans="4:4" x14ac:dyDescent="0.3">
      <c r="D302" s="612" t="s">
        <v>783</v>
      </c>
    </row>
    <row r="303" spans="4:4" x14ac:dyDescent="0.3">
      <c r="D303" s="612" t="s">
        <v>785</v>
      </c>
    </row>
    <row r="304" spans="4:4" x14ac:dyDescent="0.3">
      <c r="D304" s="612" t="s">
        <v>1115</v>
      </c>
    </row>
    <row r="305" spans="4:4" x14ac:dyDescent="0.3">
      <c r="D305" s="612" t="s">
        <v>2942</v>
      </c>
    </row>
    <row r="306" spans="4:4" x14ac:dyDescent="0.3">
      <c r="D306" s="612" t="s">
        <v>2943</v>
      </c>
    </row>
    <row r="307" spans="4:4" x14ac:dyDescent="0.3">
      <c r="D307" s="612" t="s">
        <v>2885</v>
      </c>
    </row>
    <row r="308" spans="4:4" x14ac:dyDescent="0.3">
      <c r="D308" s="612" t="s">
        <v>764</v>
      </c>
    </row>
    <row r="309" spans="4:4" x14ac:dyDescent="0.3">
      <c r="D309" s="612" t="s">
        <v>753</v>
      </c>
    </row>
    <row r="310" spans="4:4" x14ac:dyDescent="0.3">
      <c r="D310" s="612" t="s">
        <v>755</v>
      </c>
    </row>
    <row r="311" spans="4:4" x14ac:dyDescent="0.3">
      <c r="D311" s="612" t="s">
        <v>310</v>
      </c>
    </row>
    <row r="312" spans="4:4" x14ac:dyDescent="0.3">
      <c r="D312" s="612" t="s">
        <v>1799</v>
      </c>
    </row>
    <row r="313" spans="4:4" x14ac:dyDescent="0.3">
      <c r="D313" s="612" t="s">
        <v>1025</v>
      </c>
    </row>
    <row r="314" spans="4:4" x14ac:dyDescent="0.3">
      <c r="D314" s="612" t="s">
        <v>905</v>
      </c>
    </row>
    <row r="315" spans="4:4" x14ac:dyDescent="0.3">
      <c r="D315" s="612" t="s">
        <v>908</v>
      </c>
    </row>
    <row r="316" spans="4:4" x14ac:dyDescent="0.3">
      <c r="D316" s="612" t="s">
        <v>943</v>
      </c>
    </row>
    <row r="317" spans="4:4" x14ac:dyDescent="0.3">
      <c r="D317" s="612" t="s">
        <v>939</v>
      </c>
    </row>
    <row r="318" spans="4:4" x14ac:dyDescent="0.3">
      <c r="D318" s="612" t="s">
        <v>929</v>
      </c>
    </row>
    <row r="319" spans="4:4" x14ac:dyDescent="0.3">
      <c r="D319" s="612" t="s">
        <v>2962</v>
      </c>
    </row>
    <row r="320" spans="4:4" x14ac:dyDescent="0.3">
      <c r="D320" s="612" t="s">
        <v>298</v>
      </c>
    </row>
    <row r="321" spans="4:4" x14ac:dyDescent="0.3">
      <c r="D321" s="612" t="s">
        <v>1376</v>
      </c>
    </row>
    <row r="322" spans="4:4" x14ac:dyDescent="0.3">
      <c r="D322" s="612" t="s">
        <v>1379</v>
      </c>
    </row>
    <row r="323" spans="4:4" x14ac:dyDescent="0.3">
      <c r="D323" s="612" t="s">
        <v>1382</v>
      </c>
    </row>
    <row r="324" spans="4:4" x14ac:dyDescent="0.3">
      <c r="D324" s="612" t="s">
        <v>1387</v>
      </c>
    </row>
    <row r="325" spans="4:4" x14ac:dyDescent="0.3">
      <c r="D325" s="612" t="s">
        <v>1389</v>
      </c>
    </row>
    <row r="326" spans="4:4" x14ac:dyDescent="0.3">
      <c r="D326" s="612" t="s">
        <v>1393</v>
      </c>
    </row>
    <row r="327" spans="4:4" x14ac:dyDescent="0.3">
      <c r="D327" s="612" t="s">
        <v>2952</v>
      </c>
    </row>
    <row r="328" spans="4:4" x14ac:dyDescent="0.3">
      <c r="D328" s="612" t="s">
        <v>2953</v>
      </c>
    </row>
    <row r="329" spans="4:4" x14ac:dyDescent="0.3">
      <c r="D329" s="612" t="s">
        <v>2954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61" bestFit="1" customWidth="1"/>
    <col min="2" max="2" width="3.19921875" style="159" bestFit="1" customWidth="1"/>
    <col min="3" max="3" width="3.3984375" style="159" bestFit="1" customWidth="1"/>
    <col min="4" max="4" width="15.8984375" style="159" bestFit="1" customWidth="1"/>
    <col min="5" max="5" width="28.8984375" style="159" bestFit="1" customWidth="1"/>
    <col min="6" max="6" width="6.3984375" style="159" bestFit="1" customWidth="1"/>
    <col min="7" max="7" width="27.69921875" style="159" bestFit="1" customWidth="1"/>
    <col min="8" max="8" width="37.59765625" style="159" bestFit="1" customWidth="1"/>
    <col min="9" max="10" width="7.3984375" style="159" bestFit="1" customWidth="1"/>
    <col min="11" max="11" width="11.3984375" style="159" bestFit="1" customWidth="1"/>
    <col min="12" max="12" width="12.69921875" style="159" bestFit="1" customWidth="1"/>
    <col min="13" max="13" width="8.69921875" style="159" customWidth="1"/>
    <col min="14" max="15" width="11.3984375" style="159" bestFit="1" customWidth="1"/>
    <col min="16" max="17" width="7.3984375" style="159" bestFit="1" customWidth="1"/>
    <col min="18" max="18" width="10.19921875" style="159" bestFit="1" customWidth="1"/>
    <col min="19" max="25" width="8.69921875" style="159" customWidth="1"/>
    <col min="26" max="26" width="11.3984375" style="159" bestFit="1" customWidth="1"/>
    <col min="27" max="27" width="10.19921875" style="159" bestFit="1" customWidth="1"/>
    <col min="28" max="31" width="11.3984375" style="159" bestFit="1" customWidth="1"/>
    <col min="32" max="32" width="5.3984375" style="159" bestFit="1" customWidth="1"/>
    <col min="33" max="33" width="3.69921875" style="159" bestFit="1" customWidth="1"/>
    <col min="34" max="34" width="6.3984375" style="159" bestFit="1" customWidth="1"/>
    <col min="35" max="35" width="8.8984375" style="159" bestFit="1" customWidth="1"/>
    <col min="36" max="39" width="8.69921875" style="159" customWidth="1"/>
    <col min="40" max="16384" width="8.69921875" style="159"/>
  </cols>
  <sheetData>
    <row r="1" spans="1:57" x14ac:dyDescent="0.3">
      <c r="A1" s="161" t="s">
        <v>1397</v>
      </c>
      <c r="R1" s="159" t="s">
        <v>1398</v>
      </c>
    </row>
    <row r="2" spans="1:57" s="244" customFormat="1" ht="14.25" customHeight="1" x14ac:dyDescent="0.3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77</v>
      </c>
      <c r="E2" s="134" t="s">
        <v>1399</v>
      </c>
      <c r="F2" s="1" t="s">
        <v>1400</v>
      </c>
      <c r="G2" s="44" t="s">
        <v>1401</v>
      </c>
      <c r="H2" s="134" t="s">
        <v>1402</v>
      </c>
      <c r="I2" s="1" t="s">
        <v>179</v>
      </c>
      <c r="J2" s="1" t="s">
        <v>123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158</v>
      </c>
      <c r="R2" s="134" t="s">
        <v>1403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 x14ac:dyDescent="0.3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77</v>
      </c>
      <c r="E3" s="134" t="s">
        <v>1399</v>
      </c>
      <c r="F3" s="1" t="s">
        <v>1404</v>
      </c>
      <c r="G3" s="44" t="s">
        <v>1401</v>
      </c>
      <c r="H3" s="134" t="s">
        <v>1405</v>
      </c>
      <c r="I3" s="1" t="s">
        <v>179</v>
      </c>
      <c r="J3" s="1" t="s">
        <v>123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158</v>
      </c>
      <c r="R3" s="134" t="s">
        <v>1406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 x14ac:dyDescent="0.3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84</v>
      </c>
      <c r="E4" s="134"/>
      <c r="F4" s="1" t="s">
        <v>1407</v>
      </c>
      <c r="G4" s="134" t="s">
        <v>1408</v>
      </c>
      <c r="H4" s="134" t="s">
        <v>1409</v>
      </c>
      <c r="I4" s="1" t="s">
        <v>179</v>
      </c>
      <c r="J4" s="1" t="s">
        <v>300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8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 x14ac:dyDescent="0.3">
      <c r="A5" s="161">
        <v>44508</v>
      </c>
      <c r="B5" s="133">
        <v>207</v>
      </c>
      <c r="C5" s="134" t="s">
        <v>1410</v>
      </c>
      <c r="D5" s="134" t="s">
        <v>79</v>
      </c>
      <c r="E5" s="134"/>
      <c r="F5" s="1" t="s">
        <v>1411</v>
      </c>
      <c r="G5" s="44" t="s">
        <v>1412</v>
      </c>
      <c r="H5" s="134" t="s">
        <v>1413</v>
      </c>
      <c r="I5" s="1" t="s">
        <v>179</v>
      </c>
      <c r="J5" s="1" t="s">
        <v>180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1414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61">
        <v>44509</v>
      </c>
      <c r="B6" s="214">
        <v>43</v>
      </c>
      <c r="C6" s="276" t="str">
        <f>IFERROR(MID(功能_33[[#This Row],[功能代號]],2,1)&amp;"-"&amp;VLOOKUP(功能_33[[#This Row],[功能代號]],#REF!,4,FALSE)&amp;VLOOKUP(功能_33[[#This Row],[功能代號]],#REF!,6,FALSE),"")</f>
        <v/>
      </c>
      <c r="D6" s="276" t="s">
        <v>78</v>
      </c>
      <c r="E6" s="276" t="s">
        <v>246</v>
      </c>
      <c r="F6" s="275" t="s">
        <v>1415</v>
      </c>
      <c r="G6" s="276" t="s">
        <v>1416</v>
      </c>
      <c r="H6" s="134" t="s">
        <v>1417</v>
      </c>
      <c r="I6" s="275" t="s">
        <v>179</v>
      </c>
      <c r="J6" s="275" t="s">
        <v>180</v>
      </c>
      <c r="K6" s="218"/>
      <c r="L6" s="283">
        <v>44432</v>
      </c>
      <c r="M6" s="283">
        <v>44432</v>
      </c>
      <c r="N6" s="283" t="str">
        <f>IFERROR(IF(VLOOKUP(功能_33[[#This Row],[功能代號]],討論項目!B:I,8,FALSE)=0,"",VLOOKUP(功能_33[[#This Row],[功能代號]],討論項目!B:I,8,FALSE)),"")</f>
        <v/>
      </c>
      <c r="O6" s="275" t="s">
        <v>10</v>
      </c>
      <c r="P6" s="275" t="s">
        <v>13</v>
      </c>
      <c r="Q6" s="258" t="s">
        <v>212</v>
      </c>
      <c r="R6" s="275"/>
      <c r="S6" s="275"/>
      <c r="T6" s="275"/>
      <c r="U6" s="275"/>
      <c r="V6" s="275"/>
      <c r="W6" s="275"/>
      <c r="X6" s="275"/>
      <c r="Y6" s="276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3">
        <v>44515</v>
      </c>
      <c r="AC6" s="283" t="s">
        <v>119</v>
      </c>
      <c r="AD6" s="283"/>
      <c r="AE6" s="283"/>
      <c r="AF6" s="283"/>
      <c r="AG6" s="334"/>
      <c r="AH6" s="283" t="str">
        <f>IFERROR(IF(VLOOKUP(功能_33[[#This Row],[功能代號]],F:R,11,FALSE)=0,"",VLOOKUP(功能_33[[#This Row],[功能代號]],F:R,11,FALSE)),"")</f>
        <v/>
      </c>
      <c r="AI6" s="283"/>
      <c r="AJ6" s="283"/>
      <c r="AK6" s="276"/>
      <c r="AL6" s="217"/>
      <c r="AM6" s="275"/>
      <c r="AN6" s="276"/>
      <c r="AO6" s="276" t="e">
        <f>VLOOKUP(功能_33[[#This Row],[功能代號]],#REF!,1,FALSE)</f>
        <v>#REF!</v>
      </c>
    </row>
    <row r="7" spans="1:57" x14ac:dyDescent="0.3">
      <c r="A7" s="161">
        <v>44509</v>
      </c>
      <c r="B7" s="214">
        <v>46</v>
      </c>
      <c r="C7" s="276" t="str">
        <f>IFERROR(MID(功能_33[[#This Row],[功能代號]],2,1)&amp;"-"&amp;VLOOKUP(功能_33[[#This Row],[功能代號]],#REF!,4,FALSE)&amp;VLOOKUP(功能_33[[#This Row],[功能代號]],#REF!,6,FALSE),"")</f>
        <v/>
      </c>
      <c r="D7" s="276" t="s">
        <v>78</v>
      </c>
      <c r="E7" s="276" t="s">
        <v>246</v>
      </c>
      <c r="F7" s="275" t="s">
        <v>1418</v>
      </c>
      <c r="G7" s="276" t="s">
        <v>1419</v>
      </c>
      <c r="H7" s="134" t="s">
        <v>1417</v>
      </c>
      <c r="I7" s="275" t="s">
        <v>179</v>
      </c>
      <c r="J7" s="275" t="s">
        <v>180</v>
      </c>
      <c r="K7" s="218"/>
      <c r="L7" s="283">
        <v>44432</v>
      </c>
      <c r="M7" s="283">
        <v>44432</v>
      </c>
      <c r="N7" s="283" t="str">
        <f>IFERROR(IF(VLOOKUP(功能_33[[#This Row],[功能代號]],討論項目!B:I,8,FALSE)=0,"",VLOOKUP(功能_33[[#This Row],[功能代號]],討論項目!B:I,8,FALSE)),"")</f>
        <v/>
      </c>
      <c r="O7" s="275" t="s">
        <v>10</v>
      </c>
      <c r="P7" s="275" t="s">
        <v>13</v>
      </c>
      <c r="Q7" s="258" t="s">
        <v>212</v>
      </c>
      <c r="R7" s="275"/>
      <c r="S7" s="275"/>
      <c r="T7" s="275"/>
      <c r="U7" s="275"/>
      <c r="V7" s="275"/>
      <c r="W7" s="275"/>
      <c r="X7" s="275"/>
      <c r="Y7" s="276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3">
        <v>44515</v>
      </c>
      <c r="AC7" s="283" t="s">
        <v>119</v>
      </c>
      <c r="AD7" s="283"/>
      <c r="AE7" s="283"/>
      <c r="AF7" s="283"/>
      <c r="AG7" s="334"/>
      <c r="AH7" s="283" t="str">
        <f>IFERROR(IF(VLOOKUP(功能_33[[#This Row],[功能代號]],F:R,11,FALSE)=0,"",VLOOKUP(功能_33[[#This Row],[功能代號]],F:R,11,FALSE)),"")</f>
        <v/>
      </c>
      <c r="AI7" s="283"/>
      <c r="AJ7" s="283"/>
      <c r="AK7" s="276"/>
      <c r="AL7" s="217"/>
      <c r="AM7" s="275"/>
      <c r="AN7" s="276"/>
      <c r="AO7" s="276" t="e">
        <f>VLOOKUP(功能_33[[#This Row],[功能代號]],#REF!,1,FALSE)</f>
        <v>#REF!</v>
      </c>
    </row>
    <row r="8" spans="1:57" x14ac:dyDescent="0.3">
      <c r="A8" s="161">
        <v>44509</v>
      </c>
      <c r="B8" s="214">
        <v>58</v>
      </c>
      <c r="C8" s="276" t="str">
        <f>IFERROR(MID(功能_33[[#This Row],[功能代號]],2,1)&amp;"-"&amp;VLOOKUP(功能_33[[#This Row],[功能代號]],#REF!,4,FALSE)&amp;VLOOKUP(功能_33[[#This Row],[功能代號]],#REF!,6,FALSE),"")</f>
        <v/>
      </c>
      <c r="D8" s="276" t="s">
        <v>78</v>
      </c>
      <c r="E8" s="276" t="s">
        <v>246</v>
      </c>
      <c r="F8" s="275" t="s">
        <v>1420</v>
      </c>
      <c r="G8" s="276" t="s">
        <v>1421</v>
      </c>
      <c r="H8" s="276" t="s">
        <v>1422</v>
      </c>
      <c r="I8" s="275" t="s">
        <v>179</v>
      </c>
      <c r="J8" s="275" t="s">
        <v>180</v>
      </c>
      <c r="K8" s="218"/>
      <c r="L8" s="283">
        <v>44434</v>
      </c>
      <c r="M8" s="283">
        <v>44433</v>
      </c>
      <c r="N8" s="283" t="str">
        <f>IFERROR(IF(VLOOKUP(功能_33[[#This Row],[功能代號]],討論項目!B:I,8,FALSE)=0,"",VLOOKUP(功能_33[[#This Row],[功能代號]],討論項目!B:I,8,FALSE)),"")</f>
        <v/>
      </c>
      <c r="O8" s="275" t="s">
        <v>10</v>
      </c>
      <c r="P8" s="275" t="s">
        <v>13</v>
      </c>
      <c r="Q8" s="258" t="s">
        <v>212</v>
      </c>
      <c r="R8" s="275"/>
      <c r="S8" s="275"/>
      <c r="T8" s="275"/>
      <c r="U8" s="275"/>
      <c r="V8" s="275"/>
      <c r="W8" s="275"/>
      <c r="X8" s="275"/>
      <c r="Y8" s="276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3">
        <v>44515</v>
      </c>
      <c r="AC8" s="283" t="s">
        <v>119</v>
      </c>
      <c r="AD8" s="283"/>
      <c r="AE8" s="283"/>
      <c r="AF8" s="283"/>
      <c r="AG8" s="334"/>
      <c r="AH8" s="283" t="str">
        <f>IFERROR(IF(VLOOKUP(功能_33[[#This Row],[功能代號]],F:R,11,FALSE)=0,"",VLOOKUP(功能_33[[#This Row],[功能代號]],F:R,11,FALSE)),"")</f>
        <v/>
      </c>
      <c r="AI8" s="283"/>
      <c r="AJ8" s="283"/>
      <c r="AK8" s="276"/>
      <c r="AL8" s="217"/>
      <c r="AM8" s="275"/>
      <c r="AN8" s="276"/>
      <c r="AO8" s="276" t="e">
        <f>VLOOKUP(功能_33[[#This Row],[功能代號]],#REF!,1,FALSE)</f>
        <v>#REF!</v>
      </c>
    </row>
    <row r="9" spans="1:57" x14ac:dyDescent="0.3">
      <c r="A9" s="161">
        <v>44509</v>
      </c>
      <c r="B9" s="214">
        <v>51</v>
      </c>
      <c r="C9" s="276" t="str">
        <f>IFERROR(MID(功能_33[[#This Row],[功能代號]],2,1)&amp;"-"&amp;VLOOKUP(功能_33[[#This Row],[功能代號]],#REF!,4,FALSE)&amp;VLOOKUP(功能_33[[#This Row],[功能代號]],#REF!,6,FALSE),"")</f>
        <v/>
      </c>
      <c r="D9" s="276" t="s">
        <v>78</v>
      </c>
      <c r="E9" s="276" t="s">
        <v>246</v>
      </c>
      <c r="F9" s="275" t="s">
        <v>1423</v>
      </c>
      <c r="G9" s="276" t="s">
        <v>1424</v>
      </c>
      <c r="H9" s="276" t="s">
        <v>1425</v>
      </c>
      <c r="I9" s="275" t="s">
        <v>179</v>
      </c>
      <c r="J9" s="275" t="s">
        <v>180</v>
      </c>
      <c r="K9" s="218"/>
      <c r="L9" s="283">
        <v>44433</v>
      </c>
      <c r="M9" s="283">
        <v>44433</v>
      </c>
      <c r="N9" s="283" t="str">
        <f>IFERROR(IF(VLOOKUP(功能_33[[#This Row],[功能代號]],討論項目!B:I,8,FALSE)=0,"",VLOOKUP(功能_33[[#This Row],[功能代號]],討論項目!B:I,8,FALSE)),"")</f>
        <v/>
      </c>
      <c r="O9" s="275" t="s">
        <v>10</v>
      </c>
      <c r="P9" s="275" t="s">
        <v>13</v>
      </c>
      <c r="Q9" s="258" t="s">
        <v>212</v>
      </c>
      <c r="R9" s="275"/>
      <c r="S9" s="275"/>
      <c r="T9" s="275"/>
      <c r="U9" s="275"/>
      <c r="V9" s="275"/>
      <c r="W9" s="275"/>
      <c r="X9" s="275"/>
      <c r="Y9" s="276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3">
        <v>44515</v>
      </c>
      <c r="AC9" s="283" t="s">
        <v>119</v>
      </c>
      <c r="AD9" s="283"/>
      <c r="AE9" s="283"/>
      <c r="AF9" s="283"/>
      <c r="AG9" s="334"/>
      <c r="AH9" s="283" t="str">
        <f>IFERROR(IF(VLOOKUP(功能_33[[#This Row],[功能代號]],F:R,11,FALSE)=0,"",VLOOKUP(功能_33[[#This Row],[功能代號]],F:R,11,FALSE)),"")</f>
        <v/>
      </c>
      <c r="AI9" s="283"/>
      <c r="AJ9" s="283"/>
      <c r="AK9" s="276"/>
      <c r="AL9" s="217"/>
      <c r="AM9" s="275"/>
      <c r="AN9" s="276"/>
      <c r="AO9" s="276" t="e">
        <f>VLOOKUP(功能_33[[#This Row],[功能代號]],#REF!,1,FALSE)</f>
        <v>#REF!</v>
      </c>
      <c r="AP9" s="216"/>
      <c r="AQ9" s="216"/>
      <c r="AR9" s="216"/>
    </row>
    <row r="10" spans="1:57" x14ac:dyDescent="0.3">
      <c r="A10" s="161">
        <v>44509</v>
      </c>
      <c r="B10" s="214">
        <v>54</v>
      </c>
      <c r="C10" s="276" t="str">
        <f>IFERROR(MID(功能_33[[#This Row],[功能代號]],2,1)&amp;"-"&amp;VLOOKUP(功能_33[[#This Row],[功能代號]],#REF!,4,FALSE)&amp;VLOOKUP(功能_33[[#This Row],[功能代號]],#REF!,6,FALSE),"")</f>
        <v/>
      </c>
      <c r="D10" s="276" t="s">
        <v>78</v>
      </c>
      <c r="E10" s="276" t="s">
        <v>246</v>
      </c>
      <c r="F10" s="275" t="s">
        <v>1426</v>
      </c>
      <c r="G10" s="276" t="s">
        <v>1427</v>
      </c>
      <c r="H10" s="276" t="s">
        <v>1422</v>
      </c>
      <c r="I10" s="275" t="s">
        <v>179</v>
      </c>
      <c r="J10" s="275" t="s">
        <v>180</v>
      </c>
      <c r="K10" s="218"/>
      <c r="L10" s="283">
        <v>44434</v>
      </c>
      <c r="M10" s="283">
        <v>44433</v>
      </c>
      <c r="N10" s="283" t="str">
        <f>IFERROR(IF(VLOOKUP(功能_33[[#This Row],[功能代號]],討論項目!B:I,8,FALSE)=0,"",VLOOKUP(功能_33[[#This Row],[功能代號]],討論項目!B:I,8,FALSE)),"")</f>
        <v/>
      </c>
      <c r="O10" s="275" t="s">
        <v>10</v>
      </c>
      <c r="P10" s="275" t="s">
        <v>13</v>
      </c>
      <c r="Q10" s="258" t="s">
        <v>212</v>
      </c>
      <c r="R10" s="275"/>
      <c r="S10" s="275"/>
      <c r="T10" s="275"/>
      <c r="U10" s="275"/>
      <c r="V10" s="275"/>
      <c r="W10" s="275"/>
      <c r="X10" s="275"/>
      <c r="Y10" s="276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3">
        <v>44515</v>
      </c>
      <c r="AC10" s="283" t="s">
        <v>119</v>
      </c>
      <c r="AD10" s="283"/>
      <c r="AE10" s="283"/>
      <c r="AF10" s="283"/>
      <c r="AG10" s="334"/>
      <c r="AH10" s="283" t="str">
        <f>IFERROR(IF(VLOOKUP(功能_33[[#This Row],[功能代號]],F:R,11,FALSE)=0,"",VLOOKUP(功能_33[[#This Row],[功能代號]],F:R,11,FALSE)),"")</f>
        <v/>
      </c>
      <c r="AI10" s="283"/>
      <c r="AJ10" s="283"/>
      <c r="AK10" s="276"/>
      <c r="AL10" s="217"/>
      <c r="AM10" s="275"/>
      <c r="AN10" s="276"/>
      <c r="AO10" s="276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 x14ac:dyDescent="0.3">
      <c r="A11" s="161">
        <v>44509</v>
      </c>
      <c r="B11" s="214">
        <v>55</v>
      </c>
      <c r="C11" s="276" t="str">
        <f>IFERROR(MID(功能_33[[#This Row],[功能代號]],2,1)&amp;"-"&amp;VLOOKUP(功能_33[[#This Row],[功能代號]],#REF!,4,FALSE)&amp;VLOOKUP(功能_33[[#This Row],[功能代號]],#REF!,6,FALSE),"")</f>
        <v/>
      </c>
      <c r="D11" s="276" t="s">
        <v>78</v>
      </c>
      <c r="E11" s="276" t="s">
        <v>246</v>
      </c>
      <c r="F11" s="275" t="s">
        <v>1428</v>
      </c>
      <c r="G11" s="276" t="s">
        <v>1429</v>
      </c>
      <c r="H11" s="276" t="s">
        <v>1422</v>
      </c>
      <c r="I11" s="275" t="s">
        <v>179</v>
      </c>
      <c r="J11" s="275" t="s">
        <v>180</v>
      </c>
      <c r="K11" s="218"/>
      <c r="L11" s="283">
        <v>44434</v>
      </c>
      <c r="M11" s="283">
        <v>44433</v>
      </c>
      <c r="N11" s="283" t="str">
        <f>IFERROR(IF(VLOOKUP(功能_33[[#This Row],[功能代號]],討論項目!B:I,8,FALSE)=0,"",VLOOKUP(功能_33[[#This Row],[功能代號]],討論項目!B:I,8,FALSE)),"")</f>
        <v/>
      </c>
      <c r="O11" s="275" t="s">
        <v>10</v>
      </c>
      <c r="P11" s="275" t="s">
        <v>13</v>
      </c>
      <c r="Q11" s="258" t="s">
        <v>212</v>
      </c>
      <c r="R11" s="275"/>
      <c r="S11" s="275"/>
      <c r="T11" s="275"/>
      <c r="U11" s="275"/>
      <c r="V11" s="275"/>
      <c r="W11" s="275"/>
      <c r="X11" s="275"/>
      <c r="Y11" s="276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3">
        <v>44515</v>
      </c>
      <c r="AC11" s="283" t="s">
        <v>119</v>
      </c>
      <c r="AD11" s="283"/>
      <c r="AE11" s="283"/>
      <c r="AF11" s="283"/>
      <c r="AG11" s="334"/>
      <c r="AH11" s="283" t="str">
        <f>IFERROR(IF(VLOOKUP(功能_33[[#This Row],[功能代號]],F:R,11,FALSE)=0,"",VLOOKUP(功能_33[[#This Row],[功能代號]],F:R,11,FALSE)),"")</f>
        <v/>
      </c>
      <c r="AI11" s="283"/>
      <c r="AJ11" s="283"/>
      <c r="AK11" s="276"/>
      <c r="AL11" s="217"/>
      <c r="AM11" s="275"/>
      <c r="AN11" s="276"/>
      <c r="AO11" s="276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 x14ac:dyDescent="0.3">
      <c r="A12" s="161">
        <v>44510</v>
      </c>
      <c r="B12" s="214">
        <v>148</v>
      </c>
      <c r="C12" s="276" t="str">
        <f>IFERROR(MID(功能_33[[#This Row],[功能代號]],2,1)&amp;"-"&amp;VLOOKUP(功能_33[[#This Row],[功能代號]],#REF!,4,FALSE)&amp;VLOOKUP(功能_33[[#This Row],[功能代號]],#REF!,6,FALSE),"")</f>
        <v/>
      </c>
      <c r="D12" s="276" t="s">
        <v>81</v>
      </c>
      <c r="E12" s="223"/>
      <c r="F12" s="275" t="s">
        <v>1430</v>
      </c>
      <c r="G12" s="276" t="s">
        <v>1431</v>
      </c>
      <c r="H12" s="276" t="s">
        <v>1432</v>
      </c>
      <c r="I12" s="275" t="s">
        <v>122</v>
      </c>
      <c r="J12" s="275" t="s">
        <v>122</v>
      </c>
      <c r="K12" s="282"/>
      <c r="L12" s="250">
        <v>44518</v>
      </c>
      <c r="M12" s="283"/>
      <c r="N12" s="283" t="str">
        <f>IFERROR(IF(VLOOKUP(功能_33[[#This Row],[功能代號]],討論項目!B:I,8,FALSE)=0,"",VLOOKUP(功能_33[[#This Row],[功能代號]],討論項目!B:I,8,FALSE)),"")</f>
        <v/>
      </c>
      <c r="O12" s="275" t="s">
        <v>12</v>
      </c>
      <c r="P12" s="275" t="s">
        <v>13</v>
      </c>
      <c r="Q12" s="258"/>
      <c r="R12" s="275"/>
      <c r="S12" s="275"/>
      <c r="T12" s="275"/>
      <c r="U12" s="275"/>
      <c r="V12" s="275"/>
      <c r="W12" s="275"/>
      <c r="X12" s="275"/>
      <c r="Y12" s="276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3">
        <f>IF(功能_33[[#This Row],[URS交二審]]=0,"",功能_33[[#This Row],[URS交二審]]+7)</f>
        <v>44470</v>
      </c>
      <c r="AC12" s="283"/>
      <c r="AD12" s="283"/>
      <c r="AE12" s="283"/>
      <c r="AF12" s="283"/>
      <c r="AG12" s="334"/>
      <c r="AH12" s="283" t="str">
        <f>IFERROR(IF(VLOOKUP(功能_33[[#This Row],[功能代號]],F:R,11,FALSE)=0,"",VLOOKUP(功能_33[[#This Row],[功能代號]],F:R,11,FALSE)),"")</f>
        <v/>
      </c>
      <c r="AI12" s="283"/>
      <c r="AJ12" s="283"/>
      <c r="AK12" s="276"/>
      <c r="AL12" s="283"/>
      <c r="AM12" s="275"/>
      <c r="AN12" s="276"/>
      <c r="AO12" s="276" t="e">
        <f>VLOOKUP(功能_33[[#This Row],[功能代號]],#REF!,1,FALSE)</f>
        <v>#REF!</v>
      </c>
      <c r="AP12" s="276" t="e">
        <f>VLOOKUP(功能_33[[#This Row],[功能代號]],#REF!,2,FALSE)</f>
        <v>#REF!</v>
      </c>
      <c r="AU12" s="339"/>
      <c r="AV12" s="340"/>
      <c r="AW12" s="341"/>
      <c r="AX12" s="341" t="e">
        <f>VLOOKUP([7]!功能[[#This Row],[功能項目
/代號]],[8]URS確認!$D:$J,6,FALSE)</f>
        <v>#REF!</v>
      </c>
      <c r="AY12" s="341"/>
      <c r="AZ12" s="341"/>
      <c r="BA12" s="340"/>
      <c r="BB12" s="265" t="e">
        <f>LEFT(#REF!,2)</f>
        <v>#REF!</v>
      </c>
      <c r="BC12" s="265"/>
      <c r="BD12" s="265"/>
      <c r="BE12" s="265"/>
    </row>
    <row r="13" spans="1:57" x14ac:dyDescent="0.3">
      <c r="A13" s="161">
        <v>44510</v>
      </c>
      <c r="B13" s="214">
        <v>151</v>
      </c>
      <c r="C13" s="276" t="str">
        <f>IFERROR(MID(功能_33[[#This Row],[功能代號]],2,1)&amp;"-"&amp;VLOOKUP(功能_33[[#This Row],[功能代號]],#REF!,4,FALSE)&amp;VLOOKUP(功能_33[[#This Row],[功能代號]],#REF!,6,FALSE),"")</f>
        <v/>
      </c>
      <c r="D13" s="276" t="s">
        <v>81</v>
      </c>
      <c r="E13" s="223"/>
      <c r="F13" s="275" t="s">
        <v>1433</v>
      </c>
      <c r="G13" s="276" t="s">
        <v>1434</v>
      </c>
      <c r="H13" s="276" t="s">
        <v>1432</v>
      </c>
      <c r="I13" s="275" t="s">
        <v>122</v>
      </c>
      <c r="J13" s="275" t="s">
        <v>122</v>
      </c>
      <c r="K13" s="282"/>
      <c r="L13" s="250">
        <v>44518</v>
      </c>
      <c r="M13" s="283"/>
      <c r="N13" s="283" t="str">
        <f>IFERROR(IF(VLOOKUP(功能_33[[#This Row],[功能代號]],討論項目!B:I,8,FALSE)=0,"",VLOOKUP(功能_33[[#This Row],[功能代號]],討論項目!B:I,8,FALSE)),"")</f>
        <v/>
      </c>
      <c r="O13" s="275" t="s">
        <v>12</v>
      </c>
      <c r="P13" s="275" t="s">
        <v>13</v>
      </c>
      <c r="Q13" s="258"/>
      <c r="R13" s="275"/>
      <c r="S13" s="275"/>
      <c r="T13" s="275"/>
      <c r="U13" s="275"/>
      <c r="V13" s="275"/>
      <c r="W13" s="275"/>
      <c r="X13" s="275"/>
      <c r="Y13" s="276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3">
        <f>IF(功能_33[[#This Row],[URS交二審]]=0,"",功能_33[[#This Row],[URS交二審]]+7)</f>
        <v>44470</v>
      </c>
      <c r="AC13" s="283"/>
      <c r="AD13" s="283"/>
      <c r="AE13" s="283"/>
      <c r="AF13" s="283"/>
      <c r="AG13" s="334"/>
      <c r="AH13" s="283" t="str">
        <f>IFERROR(IF(VLOOKUP(功能_33[[#This Row],[功能代號]],F:R,11,FALSE)=0,"",VLOOKUP(功能_33[[#This Row],[功能代號]],F:R,11,FALSE)),"")</f>
        <v/>
      </c>
      <c r="AI13" s="283"/>
      <c r="AJ13" s="283"/>
      <c r="AK13" s="276"/>
      <c r="AL13" s="283"/>
      <c r="AM13" s="275"/>
      <c r="AN13" s="276"/>
      <c r="AO13" s="276" t="e">
        <f>VLOOKUP(功能_33[[#This Row],[功能代號]],#REF!,1,FALSE)</f>
        <v>#REF!</v>
      </c>
      <c r="AP13" s="276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 x14ac:dyDescent="0.3">
      <c r="A14" s="161">
        <v>44511</v>
      </c>
      <c r="B14" s="214">
        <v>161</v>
      </c>
      <c r="C14" s="276" t="str">
        <f>IFERROR(MID(功能_33[[#This Row],[功能代號]],2,1)&amp;"-"&amp;VLOOKUP(功能_33[[#This Row],[功能代號]],#REF!,4,FALSE)&amp;VLOOKUP(功能_33[[#This Row],[功能代號]],#REF!,6,FALSE),"")</f>
        <v/>
      </c>
      <c r="D14" s="276" t="s">
        <v>81</v>
      </c>
      <c r="E14" s="222"/>
      <c r="F14" s="256" t="s">
        <v>1435</v>
      </c>
      <c r="G14" s="276" t="s">
        <v>1436</v>
      </c>
      <c r="H14" s="342" t="s">
        <v>1437</v>
      </c>
      <c r="I14" s="275" t="s">
        <v>122</v>
      </c>
      <c r="J14" s="275" t="s">
        <v>122</v>
      </c>
      <c r="K14" s="282"/>
      <c r="L14" s="250">
        <v>44519</v>
      </c>
      <c r="M14" s="283"/>
      <c r="N14" s="283" t="str">
        <f>IFERROR(IF(VLOOKUP(功能_33[[#This Row],[功能代號]],討論項目!B:I,8,FALSE)=0,"",VLOOKUP(功能_33[[#This Row],[功能代號]],討論項目!B:I,8,FALSE)),"")</f>
        <v/>
      </c>
      <c r="O14" s="275" t="s">
        <v>12</v>
      </c>
      <c r="P14" s="275" t="s">
        <v>18</v>
      </c>
      <c r="Q14" s="258"/>
      <c r="R14" s="275"/>
      <c r="S14" s="275"/>
      <c r="T14" s="275"/>
      <c r="U14" s="275"/>
      <c r="V14" s="275"/>
      <c r="W14" s="275"/>
      <c r="X14" s="275"/>
      <c r="Y14" s="276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3">
        <f>IF(功能_33[[#This Row],[URS交二審]]=0,"",功能_33[[#This Row],[URS交二審]]+7)</f>
        <v>44470</v>
      </c>
      <c r="AC14" s="283"/>
      <c r="AD14" s="283"/>
      <c r="AE14" s="283"/>
      <c r="AF14" s="283"/>
      <c r="AG14" s="334"/>
      <c r="AH14" s="283" t="str">
        <f>IFERROR(IF(VLOOKUP(功能_33[[#This Row],[功能代號]],F:R,11,FALSE)=0,"",VLOOKUP(功能_33[[#This Row],[功能代號]],F:R,11,FALSE)),"")</f>
        <v/>
      </c>
      <c r="AI14" s="283"/>
      <c r="AJ14" s="283"/>
      <c r="AK14" s="276"/>
      <c r="AL14" s="283"/>
      <c r="AM14" s="275"/>
      <c r="AN14" s="276"/>
      <c r="AO14" s="276" t="e">
        <f>VLOOKUP(功能_33[[#This Row],[功能代號]],#REF!,1,FALSE)</f>
        <v>#REF!</v>
      </c>
      <c r="AP14" s="276" t="e">
        <f>VLOOKUP(功能_33[[#This Row],[功能代號]],#REF!,2,FALSE)</f>
        <v>#REF!</v>
      </c>
      <c r="AQ14" s="276" t="e">
        <f>VLOOKUP(功能_33[[#This Row],[功能代號]],#REF!,1,FALSE)</f>
        <v>#REF!</v>
      </c>
    </row>
    <row r="15" spans="1:57" x14ac:dyDescent="0.3">
      <c r="A15" s="161">
        <v>44512</v>
      </c>
      <c r="B15" s="214">
        <v>367</v>
      </c>
      <c r="C15" s="276" t="str">
        <f>IFERROR(MID(功能_33[[#This Row],[功能代號]],2,1)&amp;"-"&amp;VLOOKUP(功能_33[[#This Row],[功能代號]],#REF!,4,FALSE)&amp;VLOOKUP(功能_33[[#This Row],[功能代號]],#REF!,6,FALSE),"")</f>
        <v/>
      </c>
      <c r="D15" s="276" t="s">
        <v>84</v>
      </c>
      <c r="E15" s="276"/>
      <c r="F15" s="275" t="s">
        <v>1438</v>
      </c>
      <c r="G15" s="276" t="s">
        <v>1439</v>
      </c>
      <c r="H15" s="159" t="s">
        <v>1440</v>
      </c>
      <c r="I15" s="275" t="s">
        <v>179</v>
      </c>
      <c r="J15" s="275" t="s">
        <v>300</v>
      </c>
      <c r="K15" s="282"/>
      <c r="L15" s="221">
        <v>44526</v>
      </c>
      <c r="M15" s="283"/>
      <c r="N15" s="283" t="str">
        <f>IFERROR(IF(VLOOKUP(功能_33[[#This Row],[功能代號]],討論項目!B:I,8,FALSE)=0,"",VLOOKUP(功能_33[[#This Row],[功能代號]],討論項目!B:I,8,FALSE)),"")</f>
        <v/>
      </c>
      <c r="O15" s="275" t="s">
        <v>7</v>
      </c>
      <c r="P15" s="275" t="s">
        <v>11</v>
      </c>
      <c r="Q15" s="258"/>
      <c r="R15" s="275"/>
      <c r="S15" s="275"/>
      <c r="T15" s="275"/>
      <c r="U15" s="275"/>
      <c r="V15" s="275"/>
      <c r="W15" s="275"/>
      <c r="X15" s="275"/>
      <c r="Y15" s="276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3">
        <f>IF(功能_33[[#This Row],[URS交二審]]=0,"",功能_33[[#This Row],[URS交二審]]+7)</f>
        <v>44470</v>
      </c>
      <c r="AC15" s="283"/>
      <c r="AD15" s="283"/>
      <c r="AE15" s="283"/>
      <c r="AF15" s="283"/>
      <c r="AG15" s="334"/>
      <c r="AH15" s="283" t="str">
        <f>IFERROR(IF(VLOOKUP(功能_33[[#This Row],[功能代號]],F:R,11,FALSE)=0,"",VLOOKUP(功能_33[[#This Row],[功能代號]],F:R,11,FALSE)),"")</f>
        <v/>
      </c>
      <c r="AI15" s="283"/>
      <c r="AJ15" s="283"/>
      <c r="AK15" s="276"/>
      <c r="AL15" s="283"/>
      <c r="AM15" s="275"/>
      <c r="AN15" s="276"/>
      <c r="AO15" s="276" t="e">
        <f>VLOOKUP(功能_33[[#This Row],[功能代號]],#REF!,1,FALSE)</f>
        <v>#REF!</v>
      </c>
    </row>
    <row r="16" spans="1:57" x14ac:dyDescent="0.3">
      <c r="A16" s="161">
        <v>44515</v>
      </c>
      <c r="B16" s="214">
        <v>164</v>
      </c>
      <c r="C16" s="276" t="str">
        <f>IFERROR(MID(功能_33[[#This Row],[功能代號]],2,1)&amp;"-"&amp;VLOOKUP(功能_33[[#This Row],[功能代號]],#REF!,4,FALSE)&amp;VLOOKUP(功能_33[[#This Row],[功能代號]],#REF!,6,FALSE),"")</f>
        <v/>
      </c>
      <c r="D16" s="276" t="s">
        <v>81</v>
      </c>
      <c r="E16" s="222"/>
      <c r="F16" s="275" t="s">
        <v>1441</v>
      </c>
      <c r="G16" s="276" t="s">
        <v>1442</v>
      </c>
      <c r="H16" s="276" t="s">
        <v>1443</v>
      </c>
      <c r="I16" s="275" t="s">
        <v>122</v>
      </c>
      <c r="J16" s="275" t="s">
        <v>123</v>
      </c>
      <c r="K16" s="282"/>
      <c r="L16" s="250">
        <v>44519</v>
      </c>
      <c r="M16" s="283"/>
      <c r="N16" s="283" t="str">
        <f>IFERROR(IF(VLOOKUP(功能_33[[#This Row],[功能代號]],討論項目!B:I,8,FALSE)=0,"",VLOOKUP(功能_33[[#This Row],[功能代號]],討論項目!B:I,8,FALSE)),"")</f>
        <v/>
      </c>
      <c r="O16" s="275" t="s">
        <v>12</v>
      </c>
      <c r="P16" s="275" t="s">
        <v>521</v>
      </c>
      <c r="Q16" s="258"/>
      <c r="R16" s="275"/>
      <c r="S16" s="275"/>
      <c r="T16" s="275"/>
      <c r="U16" s="275"/>
      <c r="V16" s="275"/>
      <c r="W16" s="275"/>
      <c r="X16" s="275"/>
      <c r="Y16" s="276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3">
        <f>IF(功能_33[[#This Row],[URS交二審]]=0,"",功能_33[[#This Row],[URS交二審]]+7)</f>
        <v>44470</v>
      </c>
      <c r="AC16" s="283"/>
      <c r="AD16" s="283"/>
      <c r="AE16" s="283"/>
      <c r="AF16" s="283"/>
      <c r="AG16" s="334"/>
      <c r="AH16" s="283" t="str">
        <f>IFERROR(IF(VLOOKUP(功能_33[[#This Row],[功能代號]],F:R,11,FALSE)=0,"",VLOOKUP(功能_33[[#This Row],[功能代號]],F:R,11,FALSE)),"")</f>
        <v/>
      </c>
      <c r="AI16" s="283"/>
      <c r="AJ16" s="283"/>
      <c r="AK16" s="276"/>
      <c r="AL16" s="283"/>
      <c r="AM16" s="275"/>
      <c r="AN16" s="276"/>
      <c r="AO16" s="276" t="e">
        <f>VLOOKUP(功能_33[[#This Row],[功能代號]],#REF!,1,FALSE)</f>
        <v>#REF!</v>
      </c>
    </row>
    <row r="17" spans="1:52" x14ac:dyDescent="0.3">
      <c r="A17" s="161">
        <v>44515</v>
      </c>
      <c r="B17" s="214">
        <v>166</v>
      </c>
      <c r="C17" s="276" t="str">
        <f>IFERROR(MID(功能_33[[#This Row],[功能代號]],2,1)&amp;"-"&amp;VLOOKUP(功能_33[[#This Row],[功能代號]],#REF!,4,FALSE)&amp;VLOOKUP(功能_33[[#This Row],[功能代號]],#REF!,6,FALSE),"")</f>
        <v/>
      </c>
      <c r="D17" s="276" t="s">
        <v>81</v>
      </c>
      <c r="E17" s="222"/>
      <c r="F17" s="275" t="s">
        <v>1444</v>
      </c>
      <c r="G17" s="276" t="s">
        <v>1445</v>
      </c>
      <c r="H17" s="276" t="s">
        <v>1443</v>
      </c>
      <c r="I17" s="275" t="s">
        <v>122</v>
      </c>
      <c r="J17" s="275" t="s">
        <v>123</v>
      </c>
      <c r="K17" s="282"/>
      <c r="L17" s="250">
        <v>44519</v>
      </c>
      <c r="M17" s="283"/>
      <c r="N17" s="283" t="str">
        <f>IFERROR(IF(VLOOKUP(功能_33[[#This Row],[功能代號]],討論項目!B:I,8,FALSE)=0,"",VLOOKUP(功能_33[[#This Row],[功能代號]],討論項目!B:I,8,FALSE)),"")</f>
        <v/>
      </c>
      <c r="O17" s="275" t="s">
        <v>12</v>
      </c>
      <c r="P17" s="275" t="s">
        <v>521</v>
      </c>
      <c r="Q17" s="258"/>
      <c r="R17" s="275"/>
      <c r="S17" s="275"/>
      <c r="T17" s="275"/>
      <c r="U17" s="275"/>
      <c r="V17" s="275"/>
      <c r="W17" s="275"/>
      <c r="X17" s="275"/>
      <c r="Y17" s="276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3" t="e">
        <f>IF(功能_33[[#This Row],[URS交二審]]=0,"",功能_33[[#This Row],[URS交二審]]+7)</f>
        <v>#VALUE!</v>
      </c>
      <c r="AC17" s="283"/>
      <c r="AD17" s="283"/>
      <c r="AE17" s="283"/>
      <c r="AF17" s="283"/>
      <c r="AG17" s="334"/>
      <c r="AH17" s="283" t="str">
        <f>IFERROR(IF(VLOOKUP(功能_33[[#This Row],[功能代號]],F:R,11,FALSE)=0,"",VLOOKUP(功能_33[[#This Row],[功能代號]],F:R,11,FALSE)),"")</f>
        <v/>
      </c>
      <c r="AI17" s="283"/>
      <c r="AJ17" s="283"/>
      <c r="AK17" s="276"/>
      <c r="AL17" s="283"/>
      <c r="AM17" s="275"/>
      <c r="AN17" s="276"/>
      <c r="AO17" s="276" t="e">
        <f>VLOOKUP(功能_33[[#This Row],[功能代號]],#REF!,1,FALSE)</f>
        <v>#REF!</v>
      </c>
    </row>
    <row r="18" spans="1:52" x14ac:dyDescent="0.3">
      <c r="A18" s="161">
        <v>44518</v>
      </c>
      <c r="B18" s="214">
        <v>163</v>
      </c>
      <c r="C18" s="276" t="s">
        <v>1446</v>
      </c>
      <c r="D18" s="276" t="s">
        <v>81</v>
      </c>
      <c r="E18" s="276"/>
      <c r="F18" s="275" t="s">
        <v>1447</v>
      </c>
      <c r="G18" s="276" t="s">
        <v>1448</v>
      </c>
      <c r="H18" s="276" t="s">
        <v>1449</v>
      </c>
      <c r="I18" s="275" t="s">
        <v>122</v>
      </c>
      <c r="J18" s="275" t="s">
        <v>123</v>
      </c>
      <c r="K18" s="282"/>
      <c r="L18" s="250">
        <v>44519</v>
      </c>
      <c r="M18" s="283"/>
      <c r="N18" s="283"/>
      <c r="O18" s="275" t="s">
        <v>12</v>
      </c>
      <c r="P18" s="275" t="s">
        <v>521</v>
      </c>
      <c r="Q18" s="258"/>
      <c r="R18" s="275"/>
      <c r="S18" s="275"/>
      <c r="T18" s="275"/>
      <c r="U18" s="275"/>
      <c r="V18" s="275"/>
      <c r="W18" s="275"/>
      <c r="X18" s="275"/>
      <c r="Y18" s="276" t="s">
        <v>1450</v>
      </c>
      <c r="Z18" s="217"/>
      <c r="AA18" s="217"/>
      <c r="AB18" s="283"/>
      <c r="AC18" s="283"/>
      <c r="AD18" s="283"/>
      <c r="AE18" s="283"/>
      <c r="AF18" s="283"/>
      <c r="AG18" s="334"/>
      <c r="AH18" s="283" t="s">
        <v>521</v>
      </c>
      <c r="AI18" s="283"/>
      <c r="AJ18" s="283"/>
      <c r="AK18" s="276"/>
      <c r="AL18" s="283"/>
      <c r="AM18" s="275"/>
      <c r="AN18" s="276"/>
      <c r="AO18" s="276" t="e">
        <v>#REF!</v>
      </c>
    </row>
    <row r="19" spans="1:52" x14ac:dyDescent="0.3">
      <c r="A19" s="161">
        <v>44518</v>
      </c>
      <c r="B19" s="214">
        <v>162</v>
      </c>
      <c r="C19" s="276" t="s">
        <v>2469</v>
      </c>
      <c r="D19" s="276" t="s">
        <v>81</v>
      </c>
      <c r="E19" s="276"/>
      <c r="F19" s="256" t="s">
        <v>1081</v>
      </c>
      <c r="G19" s="258" t="s">
        <v>1082</v>
      </c>
      <c r="H19" s="276" t="s">
        <v>1083</v>
      </c>
      <c r="I19" s="275" t="s">
        <v>122</v>
      </c>
      <c r="J19" s="275" t="s">
        <v>122</v>
      </c>
      <c r="K19" s="282"/>
      <c r="L19" s="283">
        <v>44519</v>
      </c>
      <c r="M19" s="283">
        <v>44518</v>
      </c>
      <c r="N19" s="283" t="s">
        <v>2470</v>
      </c>
      <c r="O19" s="275" t="s">
        <v>12</v>
      </c>
      <c r="P19" s="275" t="s">
        <v>521</v>
      </c>
      <c r="Q19" s="258"/>
      <c r="R19" s="276" t="s">
        <v>1450</v>
      </c>
      <c r="S19" s="217"/>
      <c r="T19" s="283" t="s">
        <v>181</v>
      </c>
      <c r="U19" s="283"/>
      <c r="V19" s="283"/>
      <c r="W19" s="283"/>
      <c r="X19" s="283"/>
      <c r="Y19" s="283"/>
      <c r="Z19" s="334"/>
      <c r="AA19" s="283" t="s">
        <v>521</v>
      </c>
      <c r="AB19" s="283"/>
      <c r="AC19" s="283"/>
      <c r="AD19" s="276"/>
      <c r="AE19" s="283"/>
      <c r="AF19" s="275"/>
      <c r="AG19" s="276"/>
      <c r="AH19" s="276" t="e">
        <v>#N/A</v>
      </c>
      <c r="AI19" s="335"/>
      <c r="AJ19" s="276" t="e">
        <v>#N/A</v>
      </c>
    </row>
    <row r="20" spans="1:52" x14ac:dyDescent="0.3">
      <c r="A20" s="161">
        <v>44523</v>
      </c>
      <c r="B20" s="214">
        <v>135</v>
      </c>
      <c r="C20" s="276" t="str">
        <f>IFERROR(MID(功能_33[[#This Row],[功能代號]],2,1)&amp;"-"&amp;VLOOKUP(功能_33[[#This Row],[功能代號]],#REF!,4,FALSE)&amp;VLOOKUP(功能_33[[#This Row],[功能代號]],#REF!,6,FALSE),"")</f>
        <v/>
      </c>
      <c r="D20" s="276" t="s">
        <v>82</v>
      </c>
      <c r="E20" s="222"/>
      <c r="F20" s="275" t="s">
        <v>1451</v>
      </c>
      <c r="G20" s="276" t="s">
        <v>1452</v>
      </c>
      <c r="H20" s="276" t="s">
        <v>1453</v>
      </c>
      <c r="I20" s="275" t="s">
        <v>179</v>
      </c>
      <c r="J20" s="275" t="s">
        <v>300</v>
      </c>
      <c r="K20" s="282" t="s">
        <v>403</v>
      </c>
      <c r="L20" s="250">
        <v>44397</v>
      </c>
      <c r="M20" s="283">
        <v>44397</v>
      </c>
      <c r="N20" s="283" t="str">
        <f>IFERROR(IF(VLOOKUP(功能_33[[#This Row],[功能代號]],討論項目!B:I,8,FALSE)=0,"",VLOOKUP(功能_33[[#This Row],[功能代號]],討論項目!B:I,8,FALSE)),"")</f>
        <v/>
      </c>
      <c r="O20" s="275" t="s">
        <v>12</v>
      </c>
      <c r="P20" s="275" t="s">
        <v>521</v>
      </c>
      <c r="Q20" s="258"/>
      <c r="R20" s="275">
        <v>1</v>
      </c>
      <c r="S20" s="275" t="s">
        <v>997</v>
      </c>
      <c r="T20" s="275"/>
      <c r="U20" s="275"/>
      <c r="V20" s="275"/>
      <c r="W20" s="275"/>
      <c r="X20" s="275"/>
      <c r="Y20" s="276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3" t="s">
        <v>119</v>
      </c>
      <c r="AB20" s="283"/>
      <c r="AC20" s="283"/>
      <c r="AD20" s="283"/>
      <c r="AE20" s="283"/>
      <c r="AF20" s="283"/>
      <c r="AG20" s="334"/>
      <c r="AH20" s="283" t="str">
        <f>IFERROR(IF(VLOOKUP(功能_33[[#This Row],[功能代號]],F:R,11,FALSE)=0,"",VLOOKUP(功能_33[[#This Row],[功能代號]],F:R,11,FALSE)),"")</f>
        <v/>
      </c>
      <c r="AI20" s="283"/>
      <c r="AJ20" s="283"/>
      <c r="AK20" s="276"/>
      <c r="AL20" s="283"/>
      <c r="AM20" s="287" t="s">
        <v>1454</v>
      </c>
      <c r="AN20" s="288" t="s">
        <v>1455</v>
      </c>
      <c r="AO20" s="276" t="e">
        <f>VLOOKUP(功能_33[[#This Row],[功能代號]],需二審tmp!B:B,1,FALSE)</f>
        <v>#N/A</v>
      </c>
      <c r="AP20" s="276"/>
    </row>
    <row r="21" spans="1:52" x14ac:dyDescent="0.3">
      <c r="A21" s="161">
        <v>44523</v>
      </c>
      <c r="B21" s="214">
        <v>136</v>
      </c>
      <c r="C21" s="276" t="str">
        <f>IFERROR(MID(功能_33[[#This Row],[功能代號]],2,1)&amp;"-"&amp;VLOOKUP(功能_33[[#This Row],[功能代號]],#REF!,4,FALSE)&amp;VLOOKUP(功能_33[[#This Row],[功能代號]],#REF!,6,FALSE),"")</f>
        <v/>
      </c>
      <c r="D21" s="276" t="s">
        <v>82</v>
      </c>
      <c r="E21" s="222"/>
      <c r="F21" s="275" t="s">
        <v>1456</v>
      </c>
      <c r="G21" s="276" t="s">
        <v>1457</v>
      </c>
      <c r="H21" s="276" t="s">
        <v>1453</v>
      </c>
      <c r="I21" s="275" t="s">
        <v>179</v>
      </c>
      <c r="J21" s="275" t="s">
        <v>300</v>
      </c>
      <c r="K21" s="282" t="s">
        <v>403</v>
      </c>
      <c r="L21" s="250">
        <v>44397</v>
      </c>
      <c r="M21" s="283">
        <v>44397</v>
      </c>
      <c r="N21" s="283" t="str">
        <f>IFERROR(IF(VLOOKUP(功能_33[[#This Row],[功能代號]],討論項目!B:I,8,FALSE)=0,"",VLOOKUP(功能_33[[#This Row],[功能代號]],討論項目!B:I,8,FALSE)),"")</f>
        <v/>
      </c>
      <c r="O21" s="275" t="s">
        <v>12</v>
      </c>
      <c r="P21" s="275" t="s">
        <v>521</v>
      </c>
      <c r="Q21" s="258"/>
      <c r="R21" s="275">
        <v>1</v>
      </c>
      <c r="S21" s="275" t="s">
        <v>1002</v>
      </c>
      <c r="T21" s="275"/>
      <c r="U21" s="275"/>
      <c r="V21" s="275"/>
      <c r="W21" s="275"/>
      <c r="X21" s="275"/>
      <c r="Y21" s="276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3" t="s">
        <v>119</v>
      </c>
      <c r="AB21" s="283"/>
      <c r="AC21" s="283"/>
      <c r="AD21" s="283"/>
      <c r="AE21" s="283"/>
      <c r="AF21" s="283"/>
      <c r="AG21" s="334"/>
      <c r="AH21" s="283" t="str">
        <f>IFERROR(IF(VLOOKUP(功能_33[[#This Row],[功能代號]],F:R,11,FALSE)=0,"",VLOOKUP(功能_33[[#This Row],[功能代號]],F:R,11,FALSE)),"")</f>
        <v/>
      </c>
      <c r="AI21" s="283"/>
      <c r="AJ21" s="283"/>
      <c r="AK21" s="276"/>
      <c r="AL21" s="283"/>
      <c r="AM21" s="287" t="s">
        <v>1454</v>
      </c>
      <c r="AN21" s="288" t="s">
        <v>1455</v>
      </c>
      <c r="AO21" s="276" t="e">
        <f>VLOOKUP(功能_33[[#This Row],[功能代號]],需二審tmp!B:B,1,FALSE)</f>
        <v>#N/A</v>
      </c>
      <c r="AP21" s="276"/>
    </row>
    <row r="22" spans="1:52" x14ac:dyDescent="0.3">
      <c r="A22" s="161">
        <v>44523</v>
      </c>
      <c r="B22" s="214"/>
      <c r="C22" s="276" t="str">
        <f>IFERROR(MID(功能_33[[#This Row],[功能代號]],2,1)&amp;"-"&amp;VLOOKUP(功能_33[[#This Row],[功能代號]],#REF!,4,FALSE)&amp;VLOOKUP(功能_33[[#This Row],[功能代號]],#REF!,6,FALSE),"")</f>
        <v/>
      </c>
      <c r="D22" s="276" t="s">
        <v>82</v>
      </c>
      <c r="E22" s="219"/>
      <c r="F22" s="275" t="s">
        <v>1458</v>
      </c>
      <c r="G22" s="276" t="s">
        <v>1459</v>
      </c>
      <c r="H22" s="276" t="s">
        <v>1460</v>
      </c>
      <c r="I22" s="275" t="s">
        <v>179</v>
      </c>
      <c r="J22" s="275" t="s">
        <v>180</v>
      </c>
      <c r="K22" s="218"/>
      <c r="L22" s="283">
        <v>44488</v>
      </c>
      <c r="M22" s="283">
        <v>44488</v>
      </c>
      <c r="N22" s="283" t="str">
        <f>IFERROR(IF(VLOOKUP(功能_33[[#This Row],[功能代號]],討論項目!B:I,8,FALSE)=0,"",VLOOKUP(功能_33[[#This Row],[功能代號]],討論項目!B:I,8,FALSE)),"")</f>
        <v/>
      </c>
      <c r="O22" s="275" t="s">
        <v>7</v>
      </c>
      <c r="P22" s="275" t="s">
        <v>24</v>
      </c>
      <c r="Q22" s="258"/>
      <c r="R22" s="275"/>
      <c r="S22" s="275"/>
      <c r="T22" s="275"/>
      <c r="U22" s="275"/>
      <c r="V22" s="275"/>
      <c r="W22" s="275"/>
      <c r="X22" s="275"/>
      <c r="Y22" s="276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3" t="s">
        <v>119</v>
      </c>
      <c r="AB22" s="283"/>
      <c r="AC22" s="283"/>
      <c r="AD22" s="283"/>
      <c r="AE22" s="283"/>
      <c r="AF22" s="283"/>
      <c r="AG22" s="283"/>
      <c r="AH22" s="283" t="str">
        <f>IFERROR(IF(VLOOKUP(功能_33[[#This Row],[功能代號]],F:R,11,FALSE)=0,"",VLOOKUP(功能_33[[#This Row],[功能代號]],F:R,11,FALSE)),"")</f>
        <v/>
      </c>
      <c r="AI22" s="283"/>
      <c r="AJ22" s="283"/>
      <c r="AK22" s="276"/>
      <c r="AL22" s="217"/>
      <c r="AM22" s="275"/>
      <c r="AN22" s="276"/>
      <c r="AO22" s="276" t="e">
        <f>VLOOKUP(功能_33[[#This Row],[功能代號]],需二審tmp!B:B,1,FALSE)</f>
        <v>#N/A</v>
      </c>
    </row>
    <row r="23" spans="1:52" x14ac:dyDescent="0.3">
      <c r="A23" s="161">
        <v>44545</v>
      </c>
      <c r="B23" s="537">
        <v>44547</v>
      </c>
      <c r="C23" s="276"/>
      <c r="D23" s="276" t="s">
        <v>2515</v>
      </c>
      <c r="E23" s="276" t="s">
        <v>2584</v>
      </c>
      <c r="F23" s="275" t="s">
        <v>1395</v>
      </c>
      <c r="G23" s="267" t="s">
        <v>1396</v>
      </c>
      <c r="H23" s="267" t="s">
        <v>2808</v>
      </c>
      <c r="I23" s="275" t="s">
        <v>122</v>
      </c>
      <c r="J23" s="275" t="s">
        <v>122</v>
      </c>
      <c r="K23" s="282"/>
      <c r="L23" s="283">
        <v>44533</v>
      </c>
      <c r="M23" s="283">
        <v>44533</v>
      </c>
      <c r="N23" s="283">
        <v>44545</v>
      </c>
      <c r="O23" s="275"/>
      <c r="P23" s="275"/>
      <c r="Q23" s="258"/>
      <c r="R23" s="275"/>
      <c r="S23" s="275"/>
      <c r="T23" s="275"/>
      <c r="U23" s="275"/>
      <c r="V23" s="275"/>
      <c r="W23" s="275"/>
      <c r="X23" s="275"/>
      <c r="Y23" s="276" t="e">
        <f>VLOOKUP(功能_33[[#This Row],[User]],SKL放款!B:H,7,FALSE)</f>
        <v>#N/A</v>
      </c>
      <c r="Z23" s="283">
        <v>44545</v>
      </c>
      <c r="AA23" s="283" t="s">
        <v>2574</v>
      </c>
      <c r="AB23" s="268"/>
      <c r="AC23" s="283">
        <v>44545</v>
      </c>
      <c r="AD23" s="269"/>
      <c r="AE23" s="269"/>
      <c r="AF23" s="269"/>
      <c r="AG23" s="269"/>
      <c r="AH23" s="269" t="str">
        <f>IFERROR(IF(VLOOKUP(功能_33[[#This Row],[功能代號]],F:R,11,FALSE)=0,"",VLOOKUP(功能_33[[#This Row],[功能代號]],F:R,11,FALSE)),"")</f>
        <v/>
      </c>
      <c r="AI23" s="269"/>
      <c r="AJ23" s="269"/>
      <c r="AK23" s="276"/>
      <c r="AL23" s="217"/>
      <c r="AM23" s="275"/>
      <c r="AN23" s="276"/>
      <c r="AO23" s="276" t="e">
        <f>VLOOKUP(功能_33[[#This Row],[功能代號]],需二審tmp!B:B,1,FALSE)</f>
        <v>#N/A</v>
      </c>
      <c r="AP23" s="335"/>
      <c r="AQ23" s="436"/>
      <c r="AR23" s="507" t="str">
        <f t="shared" ref="AR23" si="0">IF(COUNTA(AD23)=1,LEFT(E23,3),"")</f>
        <v/>
      </c>
      <c r="AS23" s="509" t="str">
        <f t="shared" ref="AS23" si="1">IF(AND(COUNTA(M23)=1,COUNTA(N23)=1,COUNTA(Z23)=1,COUNTA(AC23)=1,COUNTA(AD23)=0),LEFT(E23,3),"")</f>
        <v>LC.</v>
      </c>
      <c r="AT23" s="511" t="str">
        <f t="shared" ref="AT23" si="2">IF(AND(COUNTA(M23)=1,COUNTA(N23)=1,COUNTA(Z23)=1,COUNTA(AC23)=0,COUNTA(AD23)=0),LEFT(E23,3),"")</f>
        <v/>
      </c>
      <c r="AU23" s="513" t="str">
        <f t="shared" ref="AU23" si="3">IF(AND(COUNTA(N23)=0,COUNTA(Z23)=1),LEFT(E23,3),"")</f>
        <v/>
      </c>
      <c r="AV23" s="515" t="str">
        <f t="shared" ref="AV23" si="4">IF(AND(COUNTA(N23)=1,COUNTA(Z23)=0),LEFT(E23,3),"")</f>
        <v/>
      </c>
      <c r="AW23" s="517" t="str">
        <f t="shared" ref="AW23" si="5">IF(AND(COUNTA(N23)=0,COUNTA(Z23)=0),LEFT(E23,3),"")</f>
        <v/>
      </c>
      <c r="AX23" s="539" t="str">
        <f t="shared" ref="AX23" si="6">IF(OR(COUNTA(N23)=0,COUNTA(Z23)=0),J23,"")</f>
        <v/>
      </c>
    </row>
    <row r="24" spans="1:52" x14ac:dyDescent="0.3">
      <c r="A24" s="161">
        <v>44550</v>
      </c>
      <c r="D24" s="276" t="s">
        <v>77</v>
      </c>
      <c r="E24" s="276" t="s">
        <v>2516</v>
      </c>
      <c r="F24" s="607" t="s">
        <v>2513</v>
      </c>
      <c r="G24" s="608" t="s">
        <v>153</v>
      </c>
      <c r="H24" s="276" t="s">
        <v>2945</v>
      </c>
      <c r="I24" s="275" t="s">
        <v>122</v>
      </c>
      <c r="J24" s="275" t="s">
        <v>123</v>
      </c>
      <c r="K24" s="218" t="s">
        <v>124</v>
      </c>
      <c r="L24" s="283">
        <v>44399</v>
      </c>
      <c r="M24" s="283">
        <v>44400</v>
      </c>
      <c r="N24" s="283" t="str">
        <f>IFERROR(IF(VLOOKUP(功能_33[[#This Row],[功能代號]],討論項目!B:I,8,FALSE)=0,"",VLOOKUP(功能_33[[#This Row],[功能代號]],討論項目!B:I,8,FALSE)),"")</f>
        <v/>
      </c>
      <c r="O24" s="275" t="s">
        <v>10</v>
      </c>
      <c r="P24" s="275" t="s">
        <v>11</v>
      </c>
      <c r="Q24" s="258"/>
      <c r="R24" s="275"/>
      <c r="S24" s="275"/>
      <c r="T24" s="275"/>
      <c r="U24" s="275"/>
      <c r="V24" s="275"/>
      <c r="W24" s="275"/>
      <c r="X24" s="275"/>
      <c r="Y24" s="276" t="e">
        <f>VLOOKUP(功能_33[[#This Row],[User]],SKL放款!B:H,7,FALSE)</f>
        <v>#N/A</v>
      </c>
      <c r="Z24" s="283">
        <v>44470</v>
      </c>
      <c r="AA24" s="283">
        <v>44463</v>
      </c>
      <c r="AB24" s="283">
        <v>44468</v>
      </c>
      <c r="AC24" s="283">
        <v>44468</v>
      </c>
      <c r="AD24" s="537">
        <v>44470</v>
      </c>
      <c r="AE24" s="243" t="s">
        <v>7</v>
      </c>
      <c r="AF24" s="334">
        <v>44483.56527777778</v>
      </c>
      <c r="AG24" s="215">
        <v>44487.745833333327</v>
      </c>
      <c r="AH24" s="283" t="str">
        <f>IFERROR(IF(VLOOKUP(功能_33[[#This Row],[功能代號]],F:R,11,FALSE)=0,"",VLOOKUP(功能_33[[#This Row],[功能代號]],F:R,11,FALSE)),"")</f>
        <v/>
      </c>
      <c r="AI24" s="283"/>
      <c r="AJ24" s="283"/>
      <c r="AK24" s="276"/>
      <c r="AL24" s="276"/>
      <c r="AM24" s="275" t="s">
        <v>154</v>
      </c>
      <c r="AN24" s="276" t="s">
        <v>155</v>
      </c>
      <c r="AO24" s="276" t="e">
        <f>VLOOKUP(功能_33[[#This Row],[功能代號]],需二審tmp!B:B,1,FALSE)</f>
        <v>#N/A</v>
      </c>
      <c r="AP24" s="335">
        <v>44470</v>
      </c>
      <c r="AQ24" s="436"/>
      <c r="AR24" s="507" t="str">
        <f t="shared" ref="AR24" si="7">IF(COUNTA(AD24)=1,LEFT(E24,3),"")</f>
        <v>1-4</v>
      </c>
      <c r="AS24" s="509" t="str">
        <f t="shared" ref="AS24" si="8">IF(AND(COUNTA(M24)=1,COUNTA(N24)=1,COUNTA(Z24)=1,COUNTA(AC24)=1,COUNTA(AD24)=0),LEFT(E24,3),"")</f>
        <v/>
      </c>
      <c r="AT24" s="511" t="str">
        <f t="shared" ref="AT24" si="9">IF(AND(COUNTA(M24)=1,COUNTA(N24)=1,COUNTA(Z24)=1,COUNTA(AC24)=0,COUNTA(AD24)=0),LEFT(E24,3),"")</f>
        <v/>
      </c>
      <c r="AU24" s="513" t="str">
        <f t="shared" ref="AU24" si="10">IF(AND(COUNTA(N24)=0,COUNTA(Z24)=1),LEFT(E24,3),"")</f>
        <v/>
      </c>
      <c r="AV24" s="515" t="str">
        <f t="shared" ref="AV24" si="11">IF(AND(COUNTA(N24)=1,COUNTA(Z24)=0),LEFT(E24,3),"")</f>
        <v/>
      </c>
      <c r="AW24" s="517" t="str">
        <f t="shared" ref="AW24" si="12">IF(AND(COUNTA(N24)=0,COUNTA(Z24)=0),LEFT(E24,3),"")</f>
        <v/>
      </c>
      <c r="AX24" s="539" t="str">
        <f t="shared" ref="AX24" si="13">IF(OR(COUNTA(N24)=0,COUNTA(Z24)=0),J24,"")</f>
        <v/>
      </c>
      <c r="AY24" s="589" t="s">
        <v>152</v>
      </c>
      <c r="AZ24" s="517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98" customWidth="1"/>
    <col min="2" max="2" width="23.69921875" style="74" customWidth="1"/>
    <col min="3" max="3" width="4.69921875" style="298" customWidth="1"/>
    <col min="4" max="4" width="124.5" style="74" bestFit="1" customWidth="1"/>
    <col min="5" max="5" width="15.69921875" style="613" customWidth="1"/>
    <col min="6" max="6" width="20.19921875" style="71" bestFit="1" customWidth="1"/>
    <col min="7" max="7" width="16.69921875" style="71" customWidth="1"/>
    <col min="8" max="8" width="15.3984375" style="298" bestFit="1" customWidth="1"/>
    <col min="9" max="9" width="13.3984375" style="298" customWidth="1"/>
    <col min="10" max="10" width="11.3984375" style="298" customWidth="1"/>
    <col min="11" max="11" width="16.59765625" style="298" customWidth="1"/>
    <col min="12" max="12" width="8.19921875" style="298" customWidth="1"/>
    <col min="13" max="13" width="21.59765625" style="298" customWidth="1"/>
    <col min="14" max="15" width="20.09765625" style="298" customWidth="1"/>
    <col min="16" max="16" width="12" style="298" customWidth="1"/>
    <col min="17" max="19" width="9" style="69" customWidth="1"/>
    <col min="20" max="16384" width="9" style="69"/>
  </cols>
  <sheetData>
    <row r="1" spans="1:16" ht="17" customHeight="1" x14ac:dyDescent="0.3">
      <c r="A1" s="618" t="s">
        <v>1461</v>
      </c>
      <c r="B1" s="621" t="s">
        <v>1462</v>
      </c>
      <c r="C1" s="621" t="s">
        <v>1463</v>
      </c>
      <c r="D1" s="621" t="s">
        <v>1464</v>
      </c>
      <c r="E1" s="618" t="s">
        <v>1465</v>
      </c>
      <c r="F1" s="627" t="s">
        <v>1466</v>
      </c>
      <c r="G1" s="627" t="s">
        <v>1467</v>
      </c>
      <c r="H1" s="261" t="s">
        <v>96</v>
      </c>
      <c r="I1" s="618" t="s">
        <v>1468</v>
      </c>
      <c r="J1" s="618" t="s">
        <v>1469</v>
      </c>
      <c r="K1" s="628"/>
      <c r="L1" s="628"/>
      <c r="M1" s="628"/>
      <c r="N1" s="629"/>
      <c r="O1" s="261"/>
      <c r="P1" s="618" t="s">
        <v>1470</v>
      </c>
    </row>
    <row r="2" spans="1:16" x14ac:dyDescent="0.3">
      <c r="A2" s="619"/>
      <c r="B2" s="622"/>
      <c r="C2" s="619"/>
      <c r="D2" s="619"/>
      <c r="E2" s="624"/>
      <c r="F2" s="619"/>
      <c r="G2" s="619"/>
      <c r="H2" s="263" t="s">
        <v>1467</v>
      </c>
      <c r="I2" s="619"/>
      <c r="J2" s="626" t="s">
        <v>1471</v>
      </c>
      <c r="K2" s="626" t="s">
        <v>1472</v>
      </c>
      <c r="L2" s="630" t="s">
        <v>1473</v>
      </c>
      <c r="M2" s="631"/>
      <c r="N2" s="631"/>
      <c r="O2" s="632"/>
      <c r="P2" s="619"/>
    </row>
    <row r="3" spans="1:16" x14ac:dyDescent="0.3">
      <c r="A3" s="620"/>
      <c r="B3" s="623"/>
      <c r="C3" s="620"/>
      <c r="D3" s="620"/>
      <c r="E3" s="625"/>
      <c r="F3" s="620"/>
      <c r="G3" s="620"/>
      <c r="H3" s="262"/>
      <c r="I3" s="620"/>
      <c r="J3" s="620"/>
      <c r="K3" s="620"/>
      <c r="L3" s="297" t="s">
        <v>1474</v>
      </c>
      <c r="M3" s="154" t="s">
        <v>1475</v>
      </c>
      <c r="N3" s="154" t="s">
        <v>1476</v>
      </c>
      <c r="O3" s="155" t="s">
        <v>1477</v>
      </c>
      <c r="P3" s="620"/>
    </row>
    <row r="4" spans="1:16" ht="33" customHeight="1" x14ac:dyDescent="0.3">
      <c r="A4" s="298" t="s">
        <v>995</v>
      </c>
      <c r="B4" s="69" t="str">
        <f>VLOOKUP(A4,URS確認!$E:$F,2,FALSE)</f>
        <v>放款業績工作月查詢</v>
      </c>
      <c r="C4" s="298">
        <v>1</v>
      </c>
      <c r="D4" s="74" t="s">
        <v>1478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8" t="s">
        <v>1479</v>
      </c>
      <c r="P4" s="70"/>
    </row>
    <row r="5" spans="1:16" x14ac:dyDescent="0.3">
      <c r="A5" s="298" t="s">
        <v>995</v>
      </c>
      <c r="B5" s="69" t="str">
        <f>VLOOKUP(A5,URS確認!$E:$F,2,FALSE)</f>
        <v>放款業績工作月查詢</v>
      </c>
      <c r="C5" s="298">
        <v>2</v>
      </c>
      <c r="D5" s="74" t="s">
        <v>1480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8" t="s">
        <v>1479</v>
      </c>
      <c r="P5" s="70"/>
    </row>
    <row r="6" spans="1:16" x14ac:dyDescent="0.3">
      <c r="A6" s="298" t="s">
        <v>995</v>
      </c>
      <c r="B6" s="69" t="str">
        <f>VLOOKUP(A6,URS確認!$E:$F,2,FALSE)</f>
        <v>放款業績工作月查詢</v>
      </c>
      <c r="C6" s="298">
        <v>3</v>
      </c>
      <c r="D6" s="74" t="s">
        <v>1481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8" t="s">
        <v>1479</v>
      </c>
      <c r="P6" s="70"/>
    </row>
    <row r="7" spans="1:16" x14ac:dyDescent="0.3">
      <c r="A7" s="298" t="s">
        <v>1000</v>
      </c>
      <c r="B7" s="69" t="str">
        <f>VLOOKUP(A7,URS確認!$E:$F,2,FALSE)</f>
        <v>放款業績工作月維護</v>
      </c>
      <c r="C7" s="298">
        <v>1</v>
      </c>
      <c r="D7" s="74" t="s">
        <v>1482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8" t="s">
        <v>1479</v>
      </c>
      <c r="P7" s="70"/>
    </row>
    <row r="8" spans="1:16" x14ac:dyDescent="0.3">
      <c r="A8" s="298" t="s">
        <v>1003</v>
      </c>
      <c r="B8" s="69" t="str">
        <f>VLOOKUP(A8,URS確認!$E:$F,2,FALSE)</f>
        <v xml:space="preserve">年度業績目標更新                    </v>
      </c>
      <c r="C8" s="298">
        <v>1</v>
      </c>
      <c r="D8" s="74" t="s">
        <v>1483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8" t="s">
        <v>1479</v>
      </c>
      <c r="P8" s="70"/>
    </row>
    <row r="9" spans="1:16" x14ac:dyDescent="0.3">
      <c r="A9" s="298" t="s">
        <v>1003</v>
      </c>
      <c r="B9" s="69" t="str">
        <f>VLOOKUP(A9,URS確認!$E:$F,2,FALSE)</f>
        <v xml:space="preserve">年度業績目標更新                    </v>
      </c>
      <c r="C9" s="298">
        <v>2</v>
      </c>
      <c r="D9" s="74" t="s">
        <v>1484</v>
      </c>
      <c r="E9" s="70">
        <v>44396</v>
      </c>
      <c r="F9" s="108" t="s">
        <v>1485</v>
      </c>
      <c r="G9" s="70">
        <v>44547</v>
      </c>
      <c r="H9" s="70">
        <v>44547</v>
      </c>
      <c r="I9" s="70" t="s">
        <v>122</v>
      </c>
      <c r="M9" s="298" t="s">
        <v>1486</v>
      </c>
      <c r="P9" s="70" t="s">
        <v>1487</v>
      </c>
    </row>
    <row r="10" spans="1:16" x14ac:dyDescent="0.3">
      <c r="A10" s="298" t="s">
        <v>1005</v>
      </c>
      <c r="B10" s="69" t="str">
        <f>VLOOKUP(A10,URS確認!$E:$F,2,FALSE)</f>
        <v xml:space="preserve">房貸專員明細資料查詢                </v>
      </c>
      <c r="C10" s="298">
        <v>1</v>
      </c>
      <c r="D10" s="74" t="s">
        <v>1488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8" t="s">
        <v>1479</v>
      </c>
      <c r="P10" s="70"/>
    </row>
    <row r="11" spans="1:16" x14ac:dyDescent="0.3">
      <c r="A11" s="298" t="s">
        <v>1007</v>
      </c>
      <c r="B11" s="69" t="str">
        <f>VLOOKUP(A11,URS確認!$E:$F,2,FALSE)</f>
        <v xml:space="preserve">房貸專員資料維護                    </v>
      </c>
      <c r="C11" s="298">
        <v>1</v>
      </c>
      <c r="D11" s="74" t="s">
        <v>1489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8" t="s">
        <v>1479</v>
      </c>
      <c r="P11" s="70"/>
    </row>
    <row r="12" spans="1:16" ht="33" customHeight="1" x14ac:dyDescent="0.3">
      <c r="A12" s="298" t="s">
        <v>1007</v>
      </c>
      <c r="B12" s="69" t="str">
        <f>VLOOKUP(A12,URS確認!$E:$F,2,FALSE)</f>
        <v xml:space="preserve">房貸專員資料維護                    </v>
      </c>
      <c r="C12" s="298">
        <v>2</v>
      </c>
      <c r="D12" s="74" t="s">
        <v>1490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8" t="s">
        <v>1479</v>
      </c>
      <c r="P12" s="70"/>
    </row>
    <row r="13" spans="1:16" x14ac:dyDescent="0.3">
      <c r="A13" s="298" t="s">
        <v>1007</v>
      </c>
      <c r="B13" s="69" t="str">
        <f>VLOOKUP(A13,URS確認!$E:$F,2,FALSE)</f>
        <v xml:space="preserve">房貸專員資料維護                    </v>
      </c>
      <c r="C13" s="298">
        <v>3</v>
      </c>
      <c r="D13" s="74" t="s">
        <v>1491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8" t="s">
        <v>1479</v>
      </c>
      <c r="P13" s="70"/>
    </row>
    <row r="14" spans="1:16" x14ac:dyDescent="0.3">
      <c r="A14" s="298" t="s">
        <v>1007</v>
      </c>
      <c r="B14" s="69" t="str">
        <f>VLOOKUP(A14,URS確認!$E:$F,2,FALSE)</f>
        <v xml:space="preserve">房貸專員資料維護                    </v>
      </c>
      <c r="C14" s="298">
        <v>4</v>
      </c>
      <c r="D14" s="74" t="s">
        <v>1492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8" t="s">
        <v>1479</v>
      </c>
      <c r="P14" s="70"/>
    </row>
    <row r="15" spans="1:16" x14ac:dyDescent="0.3">
      <c r="A15" s="298" t="s">
        <v>1015</v>
      </c>
      <c r="B15" s="69" t="str">
        <f>VLOOKUP(A15,URS確認!$E:$F,2,FALSE)</f>
        <v xml:space="preserve">更改目標金額、累計目標金額          </v>
      </c>
      <c r="C15" s="298">
        <v>1</v>
      </c>
      <c r="D15" s="74" t="s">
        <v>1493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8" t="s">
        <v>1479</v>
      </c>
      <c r="P15" s="70"/>
    </row>
    <row r="16" spans="1:16" ht="82.5" customHeight="1" x14ac:dyDescent="0.3">
      <c r="A16" s="298" t="s">
        <v>1015</v>
      </c>
      <c r="B16" s="74" t="str">
        <f>VLOOKUP(A16,URS確認!$E:$F,2,FALSE)</f>
        <v xml:space="preserve">更改目標金額、累計目標金額          </v>
      </c>
      <c r="C16" s="298">
        <v>2</v>
      </c>
      <c r="D16" s="74" t="s">
        <v>1494</v>
      </c>
      <c r="E16" s="70">
        <v>44396</v>
      </c>
      <c r="F16" s="70">
        <v>44620</v>
      </c>
      <c r="G16" s="70"/>
      <c r="H16" s="70"/>
      <c r="I16" s="70" t="s">
        <v>122</v>
      </c>
      <c r="M16" s="298" t="s">
        <v>1495</v>
      </c>
      <c r="P16" s="70" t="s">
        <v>1487</v>
      </c>
    </row>
    <row r="17" spans="1:16" ht="33" customHeight="1" x14ac:dyDescent="0.3">
      <c r="A17" s="298" t="s">
        <v>1015</v>
      </c>
      <c r="B17" s="69" t="str">
        <f>VLOOKUP(A17,URS確認!$E:$F,2,FALSE)</f>
        <v xml:space="preserve">更改目標金額、累計目標金額          </v>
      </c>
      <c r="C17" s="298">
        <v>3</v>
      </c>
      <c r="D17" s="74" t="s">
        <v>1496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8" t="s">
        <v>1479</v>
      </c>
      <c r="P17" s="70"/>
    </row>
    <row r="18" spans="1:16" x14ac:dyDescent="0.3">
      <c r="A18" s="298" t="s">
        <v>1015</v>
      </c>
      <c r="B18" s="69" t="str">
        <f>VLOOKUP(A18,URS確認!$E:$F,2,FALSE)</f>
        <v xml:space="preserve">更改目標金額、累計目標金額          </v>
      </c>
      <c r="C18" s="298">
        <v>4</v>
      </c>
      <c r="D18" s="74" t="s">
        <v>1497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8" t="s">
        <v>1479</v>
      </c>
      <c r="P18" s="70"/>
    </row>
    <row r="19" spans="1:16" x14ac:dyDescent="0.3">
      <c r="A19" s="298" t="s">
        <v>1009</v>
      </c>
      <c r="B19" s="69" t="str">
        <f>VLOOKUP(A19,URS確認!$E:$F,2,FALSE)</f>
        <v xml:space="preserve">晤談人員明細資料查詢                </v>
      </c>
      <c r="C19" s="298">
        <v>1</v>
      </c>
      <c r="D19" s="74" t="s">
        <v>2454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8" t="s">
        <v>1479</v>
      </c>
      <c r="P19" s="71"/>
    </row>
    <row r="20" spans="1:16" x14ac:dyDescent="0.3">
      <c r="A20" s="372" t="s">
        <v>1009</v>
      </c>
      <c r="B20" s="69" t="str">
        <f>VLOOKUP(A20,URS確認!$E:$F,2,FALSE)</f>
        <v xml:space="preserve">晤談人員明細資料查詢                </v>
      </c>
      <c r="C20" s="372">
        <v>2</v>
      </c>
      <c r="D20" s="74" t="s">
        <v>2455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72"/>
      <c r="K20" s="372"/>
      <c r="L20" s="372"/>
      <c r="M20" s="372"/>
      <c r="N20" s="372"/>
      <c r="O20" s="372"/>
      <c r="P20" s="71"/>
    </row>
    <row r="21" spans="1:16" x14ac:dyDescent="0.3">
      <c r="A21" s="298" t="s">
        <v>1011</v>
      </c>
      <c r="B21" s="69" t="str">
        <f>VLOOKUP(A21,URS確認!$E:$F,2,FALSE)</f>
        <v xml:space="preserve">晤談人員資料維護                    </v>
      </c>
      <c r="C21" s="298">
        <v>1</v>
      </c>
      <c r="D21" s="74" t="s">
        <v>1498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8" t="s">
        <v>1479</v>
      </c>
      <c r="P21" s="71"/>
    </row>
    <row r="22" spans="1:16" ht="115.5" customHeight="1" x14ac:dyDescent="0.3">
      <c r="A22" s="298" t="s">
        <v>1017</v>
      </c>
      <c r="B22" s="69" t="str">
        <f>VLOOKUP(A22,URS確認!$E:$F,2,FALSE)</f>
        <v xml:space="preserve">協辦人員等級明細資料查詢            </v>
      </c>
      <c r="C22" s="298">
        <v>1</v>
      </c>
      <c r="D22" s="74" t="s">
        <v>1499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8" t="s">
        <v>1479</v>
      </c>
      <c r="P22" s="71"/>
    </row>
    <row r="23" spans="1:16" ht="66" customHeight="1" x14ac:dyDescent="0.3">
      <c r="A23" s="298" t="s">
        <v>1017</v>
      </c>
      <c r="B23" s="69" t="str">
        <f>VLOOKUP(A23,URS確認!$E:$F,2,FALSE)</f>
        <v xml:space="preserve">協辦人員等級明細資料查詢            </v>
      </c>
      <c r="C23" s="298">
        <v>2</v>
      </c>
      <c r="D23" s="74" t="s">
        <v>1500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8" t="s">
        <v>1479</v>
      </c>
      <c r="P23" s="71"/>
    </row>
    <row r="24" spans="1:16" x14ac:dyDescent="0.3">
      <c r="A24" s="298" t="s">
        <v>1017</v>
      </c>
      <c r="B24" s="69" t="str">
        <f>VLOOKUP(A24,URS確認!$E:$F,2,FALSE)</f>
        <v xml:space="preserve">協辦人員等級明細資料查詢            </v>
      </c>
      <c r="C24" s="298">
        <v>3</v>
      </c>
      <c r="D24" s="74" t="s">
        <v>1501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8" t="s">
        <v>1502</v>
      </c>
      <c r="P24" s="71"/>
    </row>
    <row r="25" spans="1:16" x14ac:dyDescent="0.3">
      <c r="A25" s="298" t="s">
        <v>1021</v>
      </c>
      <c r="B25" s="69" t="str">
        <f>VLOOKUP(A25,URS確認!$E:$F,2,FALSE)</f>
        <v xml:space="preserve">房貸協辦人員等級維護                </v>
      </c>
      <c r="C25" s="298">
        <v>1</v>
      </c>
      <c r="D25" s="74" t="s">
        <v>1503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8" t="s">
        <v>1502</v>
      </c>
      <c r="P25" s="71"/>
    </row>
    <row r="26" spans="1:16" ht="66" customHeight="1" x14ac:dyDescent="0.3">
      <c r="A26" s="298" t="s">
        <v>1033</v>
      </c>
      <c r="B26" s="69" t="str">
        <f>VLOOKUP(A26,URS確認!$E:$F,2,FALSE)</f>
        <v>介紹人加碼獎勵津貼標準設定</v>
      </c>
      <c r="C26" s="298">
        <v>1</v>
      </c>
      <c r="D26" s="74" t="s">
        <v>2869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8" t="s">
        <v>1479</v>
      </c>
      <c r="P26" s="71"/>
    </row>
    <row r="27" spans="1:16" ht="33" customHeight="1" x14ac:dyDescent="0.3">
      <c r="A27" s="298" t="s">
        <v>1033</v>
      </c>
      <c r="B27" s="69" t="str">
        <f>VLOOKUP(A27,URS確認!$E:$F,2,FALSE)</f>
        <v>介紹人加碼獎勵津貼標準設定</v>
      </c>
      <c r="C27" s="298">
        <v>2</v>
      </c>
      <c r="D27" s="74" t="s">
        <v>2870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8" t="s">
        <v>1479</v>
      </c>
      <c r="P27" s="71" t="s">
        <v>1505</v>
      </c>
    </row>
    <row r="28" spans="1:16" x14ac:dyDescent="0.3">
      <c r="A28" s="298" t="s">
        <v>1033</v>
      </c>
      <c r="B28" s="69" t="str">
        <f>VLOOKUP(A28,URS確認!$E:$F,2,FALSE)</f>
        <v>介紹人加碼獎勵津貼標準設定</v>
      </c>
      <c r="C28" s="298">
        <v>3</v>
      </c>
      <c r="D28" s="74" t="s">
        <v>1506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8" t="s">
        <v>1479</v>
      </c>
      <c r="P28" s="71"/>
    </row>
    <row r="29" spans="1:16" x14ac:dyDescent="0.3">
      <c r="A29" s="298" t="s">
        <v>1037</v>
      </c>
      <c r="B29" s="69" t="str">
        <f>VLOOKUP(A29,URS確認!$E:$F,2,FALSE)</f>
        <v>協辦獎勵津貼標準設定</v>
      </c>
      <c r="C29" s="298">
        <v>1</v>
      </c>
      <c r="D29" s="74" t="s">
        <v>1506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8" t="s">
        <v>1479</v>
      </c>
      <c r="P29" s="71"/>
    </row>
    <row r="30" spans="1:16" ht="34" customHeight="1" x14ac:dyDescent="0.3">
      <c r="A30" s="298" t="s">
        <v>1037</v>
      </c>
      <c r="B30" s="69" t="str">
        <f>VLOOKUP(A30,URS確認!$E:$F,2,FALSE)</f>
        <v>協辦獎勵津貼標準設定</v>
      </c>
      <c r="C30" s="298">
        <v>2</v>
      </c>
      <c r="D30" s="74" t="s">
        <v>1507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8" t="s">
        <v>1479</v>
      </c>
      <c r="P30" s="71"/>
    </row>
    <row r="31" spans="1:16" x14ac:dyDescent="0.3">
      <c r="A31" s="298" t="s">
        <v>1037</v>
      </c>
      <c r="B31" s="69" t="str">
        <f>VLOOKUP(A31,URS確認!$E:$F,2,FALSE)</f>
        <v>協辦獎勵津貼標準設定</v>
      </c>
      <c r="C31" s="298">
        <v>3</v>
      </c>
      <c r="D31" s="74" t="s">
        <v>1508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8" t="s">
        <v>1479</v>
      </c>
      <c r="P31" s="71"/>
    </row>
    <row r="32" spans="1:16" x14ac:dyDescent="0.3">
      <c r="A32" s="298" t="s">
        <v>1039</v>
      </c>
      <c r="B32" s="69" t="str">
        <f>VLOOKUP(A32,URS確認!$E:$F,2,FALSE)</f>
        <v>系統變數及系統值設定</v>
      </c>
      <c r="C32" s="298">
        <v>1</v>
      </c>
      <c r="D32" s="74" t="s">
        <v>1509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8" t="s">
        <v>1479</v>
      </c>
      <c r="P32" s="71"/>
    </row>
    <row r="33" spans="1:16" ht="49.5" customHeight="1" x14ac:dyDescent="0.3">
      <c r="A33" s="298" t="s">
        <v>1039</v>
      </c>
      <c r="B33" s="69" t="str">
        <f>VLOOKUP(A33,URS確認!$E:$F,2,FALSE)</f>
        <v>系統變數及系統值設定</v>
      </c>
      <c r="C33" s="298">
        <v>2</v>
      </c>
      <c r="D33" s="74" t="s">
        <v>1510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8" t="s">
        <v>1479</v>
      </c>
      <c r="P33" s="71"/>
    </row>
    <row r="34" spans="1:16" ht="49.5" customHeight="1" x14ac:dyDescent="0.3">
      <c r="A34" s="298" t="s">
        <v>1039</v>
      </c>
      <c r="B34" s="74" t="str">
        <f>VLOOKUP(A34,URS確認!$E:$F,2,FALSE)</f>
        <v>系統變數及系統值設定</v>
      </c>
      <c r="C34" s="298">
        <v>3</v>
      </c>
      <c r="D34" s="74" t="s">
        <v>1511</v>
      </c>
      <c r="E34" s="71">
        <v>44397</v>
      </c>
      <c r="F34" s="71">
        <v>44592</v>
      </c>
      <c r="H34" s="71"/>
      <c r="I34" s="70" t="s">
        <v>122</v>
      </c>
      <c r="M34" s="298" t="s">
        <v>1495</v>
      </c>
      <c r="P34" s="71" t="s">
        <v>1487</v>
      </c>
    </row>
    <row r="35" spans="1:16" s="156" customFormat="1" ht="33" customHeight="1" x14ac:dyDescent="0.3">
      <c r="A35" s="72" t="s">
        <v>1025</v>
      </c>
      <c r="B35" s="69" t="str">
        <f>VLOOKUP(A35,URS確認!$E:$F,2,FALSE)</f>
        <v>業績件數及金額核算標準設定查詢</v>
      </c>
      <c r="C35" s="72">
        <v>1</v>
      </c>
      <c r="D35" s="75" t="s">
        <v>1512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122</v>
      </c>
      <c r="J35" s="72"/>
      <c r="K35" s="72"/>
      <c r="L35" s="72"/>
      <c r="M35" s="72"/>
      <c r="N35" s="72" t="s">
        <v>1479</v>
      </c>
      <c r="O35" s="72"/>
      <c r="P35" s="73" t="s">
        <v>1487</v>
      </c>
    </row>
    <row r="36" spans="1:16" x14ac:dyDescent="0.3">
      <c r="A36" s="298" t="s">
        <v>1027</v>
      </c>
      <c r="B36" s="69" t="str">
        <f>VLOOKUP(A36,URS確認!$E:$F,2,FALSE)</f>
        <v>業績件數及金額核算標準設定</v>
      </c>
      <c r="C36" s="298">
        <v>1</v>
      </c>
      <c r="D36" s="74" t="s">
        <v>1513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8" t="s">
        <v>1479</v>
      </c>
      <c r="P36" s="71"/>
    </row>
    <row r="37" spans="1:16" ht="33" customHeight="1" x14ac:dyDescent="0.3">
      <c r="A37" s="298" t="s">
        <v>1027</v>
      </c>
      <c r="B37" s="69" t="str">
        <f>VLOOKUP(A37,URS確認!$E:$F,2,FALSE)</f>
        <v>業績件數及金額核算標準設定</v>
      </c>
      <c r="C37" s="298">
        <v>2</v>
      </c>
      <c r="D37" s="74" t="s">
        <v>1514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8" t="s">
        <v>1495</v>
      </c>
      <c r="P37" s="71" t="s">
        <v>1515</v>
      </c>
    </row>
    <row r="38" spans="1:16" s="156" customFormat="1" ht="33" customHeight="1" x14ac:dyDescent="0.3">
      <c r="A38" s="72" t="s">
        <v>1027</v>
      </c>
      <c r="B38" s="69" t="str">
        <f>VLOOKUP(A38,URS確認!$E:$F,2,FALSE)</f>
        <v>業績件數及金額核算標準設定</v>
      </c>
      <c r="C38" s="72">
        <v>3</v>
      </c>
      <c r="D38" s="75" t="s">
        <v>1516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 x14ac:dyDescent="0.3">
      <c r="A39" s="72" t="s">
        <v>1027</v>
      </c>
      <c r="B39" s="69" t="str">
        <f>VLOOKUP(A39,URS確認!$E:$F,2,FALSE)</f>
        <v>業績件數及金額核算標準設定</v>
      </c>
      <c r="C39" s="72">
        <v>4</v>
      </c>
      <c r="D39" s="75" t="s">
        <v>1517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1495</v>
      </c>
      <c r="N39" s="72"/>
      <c r="O39" s="72"/>
      <c r="P39" s="76"/>
    </row>
    <row r="40" spans="1:16" ht="33" customHeight="1" x14ac:dyDescent="0.3">
      <c r="A40" s="298" t="s">
        <v>1029</v>
      </c>
      <c r="B40" s="69" t="str">
        <f>VLOOKUP(A40,URS確認!$E:$F,2,FALSE)</f>
        <v>業績件數及金額核算標準設定(整月)</v>
      </c>
      <c r="C40" s="298">
        <v>1</v>
      </c>
      <c r="D40" s="74" t="s">
        <v>1518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8" t="s">
        <v>1495</v>
      </c>
      <c r="P40" s="71" t="s">
        <v>1487</v>
      </c>
    </row>
    <row r="41" spans="1:16" x14ac:dyDescent="0.3">
      <c r="A41" s="298" t="s">
        <v>1066</v>
      </c>
      <c r="B41" s="69" t="str">
        <f>VLOOKUP(A41,URS確認!$E:$F,2,FALSE)</f>
        <v>工作日業績結算</v>
      </c>
      <c r="C41" s="298">
        <v>1</v>
      </c>
      <c r="D41" s="74" t="s">
        <v>1519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8" t="s">
        <v>1479</v>
      </c>
      <c r="P41" s="71"/>
    </row>
    <row r="42" spans="1:16" ht="30.65" customHeight="1" x14ac:dyDescent="0.3">
      <c r="A42" s="298" t="s">
        <v>1066</v>
      </c>
      <c r="B42" s="74" t="str">
        <f>VLOOKUP(A42,URS確認!$E:$F,2,FALSE)</f>
        <v>工作日業績結算</v>
      </c>
      <c r="C42" s="298">
        <v>2</v>
      </c>
      <c r="D42" s="74" t="s">
        <v>1520</v>
      </c>
      <c r="E42" s="71">
        <v>44398</v>
      </c>
      <c r="F42" s="71" t="s">
        <v>1521</v>
      </c>
      <c r="G42" s="71" t="s">
        <v>1521</v>
      </c>
      <c r="H42" s="71" t="s">
        <v>1521</v>
      </c>
      <c r="I42" s="70" t="str">
        <f>VLOOKUP(A42,URS確認!E:I,5,FALSE)</f>
        <v>張金龍</v>
      </c>
      <c r="P42" s="71"/>
    </row>
    <row r="43" spans="1:16" x14ac:dyDescent="0.3">
      <c r="A43" s="298" t="s">
        <v>312</v>
      </c>
      <c r="B43" s="69" t="str">
        <f>VLOOKUP(A43,URS確認!$E:$F,2,FALSE)</f>
        <v xml:space="preserve">撥款                     </v>
      </c>
      <c r="C43" s="298">
        <v>1</v>
      </c>
      <c r="D43" s="74" t="s">
        <v>1522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8" t="s">
        <v>1479</v>
      </c>
      <c r="P43" s="71"/>
    </row>
    <row r="44" spans="1:16" x14ac:dyDescent="0.3">
      <c r="A44" s="298" t="s">
        <v>1430</v>
      </c>
      <c r="B44" s="69" t="e">
        <f>VLOOKUP(A44,URS確認!$E:$F,2,FALSE)</f>
        <v>#N/A</v>
      </c>
      <c r="C44" s="298">
        <v>1</v>
      </c>
      <c r="D44" s="74" t="s">
        <v>1523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122</v>
      </c>
      <c r="L44" s="298" t="s">
        <v>1479</v>
      </c>
      <c r="P44" s="71"/>
    </row>
    <row r="45" spans="1:16" ht="34" customHeight="1" x14ac:dyDescent="0.3">
      <c r="A45" s="72" t="s">
        <v>1430</v>
      </c>
      <c r="B45" s="69" t="e">
        <f>VLOOKUP(A45,URS確認!$E:$F,2,FALSE)</f>
        <v>#N/A</v>
      </c>
      <c r="C45" s="72">
        <v>2</v>
      </c>
      <c r="D45" s="75" t="s">
        <v>1524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122</v>
      </c>
      <c r="M45" s="298" t="s">
        <v>1495</v>
      </c>
      <c r="P45" s="71"/>
    </row>
    <row r="46" spans="1:16" x14ac:dyDescent="0.3">
      <c r="A46" s="298" t="s">
        <v>1433</v>
      </c>
      <c r="B46" s="69" t="e">
        <f>VLOOKUP(A46,URS確認!$E:$F,2,FALSE)</f>
        <v>#N/A</v>
      </c>
      <c r="C46" s="298">
        <v>1</v>
      </c>
      <c r="D46" s="74" t="s">
        <v>1525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122</v>
      </c>
      <c r="L46" s="298" t="s">
        <v>1479</v>
      </c>
      <c r="P46" s="71"/>
    </row>
    <row r="47" spans="1:16" ht="34" customHeight="1" x14ac:dyDescent="0.3">
      <c r="A47" s="72" t="s">
        <v>1433</v>
      </c>
      <c r="B47" s="69" t="e">
        <f>VLOOKUP(A47,URS確認!$E:$F,2,FALSE)</f>
        <v>#N/A</v>
      </c>
      <c r="C47" s="72">
        <v>2</v>
      </c>
      <c r="D47" s="75" t="s">
        <v>1526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122</v>
      </c>
      <c r="M47" s="298" t="s">
        <v>1495</v>
      </c>
      <c r="P47" s="71"/>
    </row>
    <row r="48" spans="1:16" x14ac:dyDescent="0.3">
      <c r="A48" s="298" t="s">
        <v>1527</v>
      </c>
      <c r="B48" s="69" t="s">
        <v>1528</v>
      </c>
      <c r="C48" s="298">
        <v>1</v>
      </c>
      <c r="D48" s="74" t="s">
        <v>1529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1530</v>
      </c>
      <c r="J48" s="298" t="s">
        <v>1479</v>
      </c>
      <c r="P48" s="71"/>
    </row>
    <row r="49" spans="1:16" x14ac:dyDescent="0.3">
      <c r="A49" s="298" t="s">
        <v>1531</v>
      </c>
      <c r="B49" s="69" t="s">
        <v>1532</v>
      </c>
      <c r="C49" s="298">
        <v>1</v>
      </c>
      <c r="D49" s="74" t="s">
        <v>1529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1530</v>
      </c>
      <c r="J49" s="298" t="s">
        <v>1479</v>
      </c>
      <c r="P49" s="71"/>
    </row>
    <row r="50" spans="1:16" x14ac:dyDescent="0.3">
      <c r="A50" s="298" t="s">
        <v>120</v>
      </c>
      <c r="B50" s="69" t="str">
        <f>VLOOKUP(A50,URS確認!$E:$F,2,FALSE)</f>
        <v>顧客明細資料查詢</v>
      </c>
      <c r="C50" s="298">
        <v>1</v>
      </c>
      <c r="D50" s="74" t="s">
        <v>1533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8" t="s">
        <v>1479</v>
      </c>
      <c r="P50" s="71"/>
    </row>
    <row r="51" spans="1:16" ht="66" customHeight="1" x14ac:dyDescent="0.3">
      <c r="A51" s="298" t="s">
        <v>126</v>
      </c>
      <c r="B51" s="69" t="str">
        <f>VLOOKUP(A51,URS確認!$E:$F,2,FALSE)</f>
        <v>顧客基本資料維護-自然人</v>
      </c>
      <c r="C51" s="298">
        <v>1</v>
      </c>
      <c r="D51" s="74" t="s">
        <v>1534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122</v>
      </c>
      <c r="L51" s="298" t="s">
        <v>1479</v>
      </c>
      <c r="P51" s="71"/>
    </row>
    <row r="52" spans="1:16" ht="82.5" customHeight="1" x14ac:dyDescent="0.3">
      <c r="A52" s="298" t="s">
        <v>126</v>
      </c>
      <c r="B52" s="69" t="str">
        <f>VLOOKUP(A52,URS確認!$E:$F,2,FALSE)</f>
        <v>顧客基本資料維護-自然人</v>
      </c>
      <c r="C52" s="298">
        <v>2</v>
      </c>
      <c r="D52" s="74" t="s">
        <v>1535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122</v>
      </c>
      <c r="L52" s="298" t="s">
        <v>1479</v>
      </c>
      <c r="P52" s="71"/>
    </row>
    <row r="53" spans="1:16" ht="82.5" customHeight="1" x14ac:dyDescent="0.3">
      <c r="A53" s="298" t="s">
        <v>126</v>
      </c>
      <c r="B53" s="69" t="str">
        <f>VLOOKUP(A53,URS確認!$E:$F,2,FALSE)</f>
        <v>顧客基本資料維護-自然人</v>
      </c>
      <c r="C53" s="298">
        <v>3</v>
      </c>
      <c r="D53" s="74" t="s">
        <v>1536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122</v>
      </c>
      <c r="L53" s="298" t="s">
        <v>1479</v>
      </c>
      <c r="P53" s="71"/>
    </row>
    <row r="54" spans="1:16" ht="66" customHeight="1" x14ac:dyDescent="0.3">
      <c r="A54" s="298" t="s">
        <v>126</v>
      </c>
      <c r="B54" s="69" t="str">
        <f>VLOOKUP(A54,URS確認!$E:$F,2,FALSE)</f>
        <v>顧客基本資料維護-自然人</v>
      </c>
      <c r="C54" s="298">
        <v>4</v>
      </c>
      <c r="D54" s="74" t="s">
        <v>1537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122</v>
      </c>
      <c r="L54" s="298" t="s">
        <v>1479</v>
      </c>
      <c r="P54" s="71"/>
    </row>
    <row r="55" spans="1:16" ht="66" customHeight="1" x14ac:dyDescent="0.3">
      <c r="A55" s="298" t="s">
        <v>126</v>
      </c>
      <c r="B55" s="69" t="str">
        <f>VLOOKUP(A55,URS確認!$E:$F,2,FALSE)</f>
        <v>顧客基本資料維護-自然人</v>
      </c>
      <c r="C55" s="298">
        <v>5</v>
      </c>
      <c r="D55" s="74" t="s">
        <v>1538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122</v>
      </c>
      <c r="L55" s="298" t="s">
        <v>1479</v>
      </c>
      <c r="P55" s="71"/>
    </row>
    <row r="56" spans="1:16" ht="49.5" customHeight="1" x14ac:dyDescent="0.3">
      <c r="A56" s="298" t="s">
        <v>126</v>
      </c>
      <c r="B56" s="69" t="str">
        <f>VLOOKUP(A56,URS確認!$E:$F,2,FALSE)</f>
        <v>顧客基本資料維護-自然人</v>
      </c>
      <c r="C56" s="298">
        <v>6</v>
      </c>
      <c r="D56" s="74" t="s">
        <v>1539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122</v>
      </c>
      <c r="L56" s="298" t="s">
        <v>1479</v>
      </c>
      <c r="P56" s="71"/>
    </row>
    <row r="57" spans="1:16" x14ac:dyDescent="0.3">
      <c r="A57" s="298" t="s">
        <v>126</v>
      </c>
      <c r="B57" s="69" t="str">
        <f>VLOOKUP(A57,URS確認!$E:$F,2,FALSE)</f>
        <v>顧客基本資料維護-自然人</v>
      </c>
      <c r="C57" s="298">
        <v>7</v>
      </c>
      <c r="D57" s="74" t="s">
        <v>1540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122</v>
      </c>
      <c r="L57" s="298" t="s">
        <v>1479</v>
      </c>
      <c r="P57" s="71"/>
    </row>
    <row r="58" spans="1:16" x14ac:dyDescent="0.3">
      <c r="A58" s="298" t="s">
        <v>126</v>
      </c>
      <c r="B58" s="69" t="str">
        <f>VLOOKUP(A58,URS確認!$E:$F,2,FALSE)</f>
        <v>顧客基本資料維護-自然人</v>
      </c>
      <c r="C58" s="298">
        <v>8</v>
      </c>
      <c r="D58" s="74" t="s">
        <v>1541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122</v>
      </c>
      <c r="L58" s="298" t="s">
        <v>1479</v>
      </c>
      <c r="P58" s="71"/>
    </row>
    <row r="59" spans="1:16" x14ac:dyDescent="0.3">
      <c r="A59" s="298" t="s">
        <v>126</v>
      </c>
      <c r="B59" s="69" t="str">
        <f>VLOOKUP(A59,URS確認!$E:$F,2,FALSE)</f>
        <v>顧客基本資料維護-自然人</v>
      </c>
      <c r="C59" s="298">
        <v>9</v>
      </c>
      <c r="D59" s="74" t="s">
        <v>1542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122</v>
      </c>
      <c r="L59" s="298" t="s">
        <v>1479</v>
      </c>
      <c r="P59" s="71"/>
    </row>
    <row r="60" spans="1:16" ht="33" customHeight="1" x14ac:dyDescent="0.3">
      <c r="A60" s="298" t="s">
        <v>126</v>
      </c>
      <c r="B60" s="69" t="str">
        <f>VLOOKUP(A60,URS確認!$E:$F,2,FALSE)</f>
        <v>顧客基本資料維護-自然人</v>
      </c>
      <c r="C60" s="298">
        <v>10</v>
      </c>
      <c r="D60" s="74" t="s">
        <v>1543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122</v>
      </c>
      <c r="L60" s="298" t="s">
        <v>1479</v>
      </c>
      <c r="P60" s="71"/>
    </row>
    <row r="61" spans="1:16" ht="33" customHeight="1" x14ac:dyDescent="0.3">
      <c r="A61" s="298" t="s">
        <v>126</v>
      </c>
      <c r="B61" s="69" t="str">
        <f>VLOOKUP(A61,URS確認!$E:$F,2,FALSE)</f>
        <v>顧客基本資料維護-自然人</v>
      </c>
      <c r="C61" s="298">
        <v>11</v>
      </c>
      <c r="D61" s="74" t="s">
        <v>1544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122</v>
      </c>
      <c r="M61" s="298" t="s">
        <v>1495</v>
      </c>
      <c r="P61" s="71" t="s">
        <v>1487</v>
      </c>
    </row>
    <row r="62" spans="1:16" ht="33" customHeight="1" x14ac:dyDescent="0.3">
      <c r="A62" s="298" t="s">
        <v>126</v>
      </c>
      <c r="B62" s="69" t="str">
        <f>VLOOKUP(A62,URS確認!$E:$F,2,FALSE)</f>
        <v>顧客基本資料維護-自然人</v>
      </c>
      <c r="C62" s="298">
        <v>12</v>
      </c>
      <c r="D62" s="74" t="s">
        <v>1545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122</v>
      </c>
      <c r="L62" s="298" t="s">
        <v>1479</v>
      </c>
      <c r="P62" s="71"/>
    </row>
    <row r="63" spans="1:16" ht="33" customHeight="1" x14ac:dyDescent="0.3">
      <c r="A63" s="298" t="s">
        <v>126</v>
      </c>
      <c r="B63" s="69" t="str">
        <f>VLOOKUP(A63,URS確認!$E:$F,2,FALSE)</f>
        <v>顧客基本資料維護-自然人</v>
      </c>
      <c r="C63" s="298">
        <v>13</v>
      </c>
      <c r="D63" s="74" t="s">
        <v>1546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122</v>
      </c>
      <c r="M63" s="298" t="s">
        <v>1495</v>
      </c>
      <c r="P63" s="71"/>
    </row>
    <row r="64" spans="1:16" ht="66" customHeight="1" x14ac:dyDescent="0.3">
      <c r="A64" s="298" t="s">
        <v>133</v>
      </c>
      <c r="B64" s="69" t="str">
        <f>VLOOKUP(A64,URS確認!$E:$F,2,FALSE)</f>
        <v>顧客基本資料修改-自然人</v>
      </c>
      <c r="C64" s="298">
        <v>1</v>
      </c>
      <c r="D64" s="74" t="s">
        <v>1534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122</v>
      </c>
      <c r="L64" s="298" t="s">
        <v>1547</v>
      </c>
      <c r="M64" s="298" t="s">
        <v>1502</v>
      </c>
      <c r="P64" s="71"/>
    </row>
    <row r="65" spans="1:16" ht="82.5" customHeight="1" x14ac:dyDescent="0.3">
      <c r="A65" s="298" t="s">
        <v>133</v>
      </c>
      <c r="B65" s="69" t="str">
        <f>VLOOKUP(A65,URS確認!$E:$F,2,FALSE)</f>
        <v>顧客基本資料修改-自然人</v>
      </c>
      <c r="C65" s="298">
        <v>2</v>
      </c>
      <c r="D65" s="74" t="s">
        <v>1548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122</v>
      </c>
      <c r="L65" s="298" t="s">
        <v>1479</v>
      </c>
      <c r="P65" s="71"/>
    </row>
    <row r="66" spans="1:16" ht="33" customHeight="1" x14ac:dyDescent="0.3">
      <c r="A66" s="298" t="s">
        <v>133</v>
      </c>
      <c r="B66" s="69" t="str">
        <f>VLOOKUP(A66,URS確認!$E:$F,2,FALSE)</f>
        <v>顧客基本資料修改-自然人</v>
      </c>
      <c r="C66" s="298">
        <v>3</v>
      </c>
      <c r="D66" s="74" t="s">
        <v>1549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122</v>
      </c>
      <c r="L66" s="298" t="s">
        <v>1479</v>
      </c>
      <c r="P66" s="71"/>
    </row>
    <row r="67" spans="1:16" x14ac:dyDescent="0.3">
      <c r="A67" s="298" t="s">
        <v>133</v>
      </c>
      <c r="B67" s="69" t="str">
        <f>VLOOKUP(A67,URS確認!$E:$F,2,FALSE)</f>
        <v>顧客基本資料修改-自然人</v>
      </c>
      <c r="C67" s="298">
        <v>4</v>
      </c>
      <c r="D67" s="74" t="s">
        <v>1550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122</v>
      </c>
      <c r="N67" s="298" t="s">
        <v>1479</v>
      </c>
      <c r="P67" s="71" t="s">
        <v>1551</v>
      </c>
    </row>
    <row r="68" spans="1:16" ht="66" customHeight="1" x14ac:dyDescent="0.3">
      <c r="A68" s="298" t="s">
        <v>133</v>
      </c>
      <c r="B68" s="69" t="str">
        <f>VLOOKUP(A68,URS確認!$E:$F,2,FALSE)</f>
        <v>顧客基本資料修改-自然人</v>
      </c>
      <c r="C68" s="298">
        <v>5</v>
      </c>
      <c r="D68" s="74" t="s">
        <v>1537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122</v>
      </c>
      <c r="N68" s="298" t="s">
        <v>1479</v>
      </c>
      <c r="P68" s="71" t="s">
        <v>1551</v>
      </c>
    </row>
    <row r="69" spans="1:16" x14ac:dyDescent="0.3">
      <c r="A69" s="298" t="s">
        <v>133</v>
      </c>
      <c r="B69" s="69" t="str">
        <f>VLOOKUP(A69,URS確認!$E:$F,2,FALSE)</f>
        <v>顧客基本資料修改-自然人</v>
      </c>
      <c r="C69" s="298">
        <v>6</v>
      </c>
      <c r="D69" s="74" t="s">
        <v>1552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122</v>
      </c>
      <c r="N69" s="298" t="s">
        <v>1479</v>
      </c>
      <c r="P69" s="71" t="s">
        <v>1551</v>
      </c>
    </row>
    <row r="70" spans="1:16" x14ac:dyDescent="0.3">
      <c r="A70" s="298" t="s">
        <v>133</v>
      </c>
      <c r="B70" s="69" t="str">
        <f>VLOOKUP(A70,URS確認!$E:$F,2,FALSE)</f>
        <v>顧客基本資料修改-自然人</v>
      </c>
      <c r="C70" s="298">
        <v>7</v>
      </c>
      <c r="D70" s="74" t="s">
        <v>1553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122</v>
      </c>
      <c r="L70" s="298" t="s">
        <v>1547</v>
      </c>
      <c r="M70" s="298" t="s">
        <v>1495</v>
      </c>
      <c r="P70" s="71" t="s">
        <v>1551</v>
      </c>
    </row>
    <row r="71" spans="1:16" ht="66" customHeight="1" x14ac:dyDescent="0.3">
      <c r="A71" s="298" t="s">
        <v>133</v>
      </c>
      <c r="B71" s="69" t="str">
        <f>VLOOKUP(A71,URS確認!$E:$F,2,FALSE)</f>
        <v>顧客基本資料修改-自然人</v>
      </c>
      <c r="C71" s="298">
        <v>8</v>
      </c>
      <c r="D71" s="74" t="s">
        <v>1538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122</v>
      </c>
      <c r="L71" s="298" t="s">
        <v>1547</v>
      </c>
      <c r="N71" s="298" t="s">
        <v>1479</v>
      </c>
      <c r="P71" s="71" t="s">
        <v>1551</v>
      </c>
    </row>
    <row r="72" spans="1:16" x14ac:dyDescent="0.3">
      <c r="A72" s="298" t="s">
        <v>133</v>
      </c>
      <c r="B72" s="69" t="str">
        <f>VLOOKUP(A72,URS確認!$E:$F,2,FALSE)</f>
        <v>顧客基本資料修改-自然人</v>
      </c>
      <c r="C72" s="298">
        <v>9</v>
      </c>
      <c r="D72" s="74" t="s">
        <v>1540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122</v>
      </c>
      <c r="L72" s="298" t="s">
        <v>1479</v>
      </c>
      <c r="P72" s="71"/>
    </row>
    <row r="73" spans="1:16" ht="33" customHeight="1" x14ac:dyDescent="0.3">
      <c r="A73" s="298" t="s">
        <v>133</v>
      </c>
      <c r="B73" s="69" t="str">
        <f>VLOOKUP(A73,URS確認!$E:$F,2,FALSE)</f>
        <v>顧客基本資料修改-自然人</v>
      </c>
      <c r="C73" s="298">
        <v>10</v>
      </c>
      <c r="D73" s="74" t="s">
        <v>1554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122</v>
      </c>
      <c r="L73" s="298" t="s">
        <v>1479</v>
      </c>
      <c r="P73" s="71"/>
    </row>
    <row r="74" spans="1:16" ht="33" customHeight="1" x14ac:dyDescent="0.3">
      <c r="A74" s="298" t="s">
        <v>150</v>
      </c>
      <c r="B74" s="69" t="str">
        <f>VLOOKUP(A74,URS確認!$E:$F,2,FALSE)</f>
        <v>顧客聯絡電話維護</v>
      </c>
      <c r="C74" s="298">
        <v>1</v>
      </c>
      <c r="D74" s="74" t="s">
        <v>1555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8" t="s">
        <v>1479</v>
      </c>
      <c r="P74" s="71"/>
    </row>
    <row r="75" spans="1:16" x14ac:dyDescent="0.3">
      <c r="A75" s="298" t="s">
        <v>150</v>
      </c>
      <c r="B75" s="69" t="str">
        <f>VLOOKUP(A75,URS確認!$E:$F,2,FALSE)</f>
        <v>顧客聯絡電話維護</v>
      </c>
      <c r="C75" s="298">
        <v>2</v>
      </c>
      <c r="D75" s="74" t="s">
        <v>1556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8" t="s">
        <v>1479</v>
      </c>
      <c r="P75" s="71"/>
    </row>
    <row r="76" spans="1:16" ht="49.5" customHeight="1" x14ac:dyDescent="0.3">
      <c r="A76" s="298" t="s">
        <v>270</v>
      </c>
      <c r="B76" s="69" t="str">
        <f>VLOOKUP(A76,URS確認!$E:$F,2,FALSE)</f>
        <v xml:space="preserve">額度與擔保品關聯查詢 </v>
      </c>
      <c r="C76" s="298">
        <v>1</v>
      </c>
      <c r="D76" s="74" t="s">
        <v>1557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1530</v>
      </c>
      <c r="J76" s="298" t="s">
        <v>1479</v>
      </c>
      <c r="P76" s="71"/>
    </row>
    <row r="77" spans="1:16" x14ac:dyDescent="0.3">
      <c r="A77" s="298" t="s">
        <v>152</v>
      </c>
      <c r="B77" s="69" t="e">
        <f>VLOOKUP(A77,URS確認!$E:$F,2,FALSE)</f>
        <v>#N/A</v>
      </c>
      <c r="C77" s="298">
        <v>1</v>
      </c>
      <c r="D77" s="74" t="s">
        <v>1558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8" t="s">
        <v>1479</v>
      </c>
      <c r="P77" s="71"/>
    </row>
    <row r="78" spans="1:16" x14ac:dyDescent="0.3">
      <c r="A78" s="298" t="s">
        <v>152</v>
      </c>
      <c r="B78" s="69" t="e">
        <f>VLOOKUP(A78,URS確認!$E:$F,2,FALSE)</f>
        <v>#N/A</v>
      </c>
      <c r="C78" s="298">
        <v>2</v>
      </c>
      <c r="D78" s="74" t="s">
        <v>1559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8" t="s">
        <v>1479</v>
      </c>
      <c r="P78" s="71"/>
    </row>
    <row r="79" spans="1:16" x14ac:dyDescent="0.3">
      <c r="A79" s="298" t="s">
        <v>156</v>
      </c>
      <c r="B79" s="69" t="str">
        <f>VLOOKUP(A79,URS確認!$E:$F,2,FALSE)</f>
        <v>申請不列印書面通知書查詢</v>
      </c>
      <c r="C79" s="298">
        <v>1</v>
      </c>
      <c r="D79" s="74" t="s">
        <v>1560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8" t="s">
        <v>1502</v>
      </c>
      <c r="P79" s="71"/>
    </row>
    <row r="80" spans="1:16" x14ac:dyDescent="0.3">
      <c r="A80" s="298" t="s">
        <v>156</v>
      </c>
      <c r="B80" s="69" t="str">
        <f>VLOOKUP(A80,URS確認!$E:$F,2,FALSE)</f>
        <v>申請不列印書面通知書查詢</v>
      </c>
      <c r="C80" s="298">
        <v>2</v>
      </c>
      <c r="D80" s="74" t="s">
        <v>1561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8" t="s">
        <v>1479</v>
      </c>
      <c r="P80" s="71"/>
    </row>
    <row r="81" spans="1:16" ht="33" customHeight="1" x14ac:dyDescent="0.3">
      <c r="A81" s="298" t="s">
        <v>161</v>
      </c>
      <c r="B81" s="69" t="str">
        <f>VLOOKUP(A81,URS確認!$E:$F,2,FALSE)</f>
        <v>申請不列印書面通知書維護</v>
      </c>
      <c r="C81" s="298">
        <v>1</v>
      </c>
      <c r="D81" s="74" t="s">
        <v>1562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8" t="s">
        <v>1479</v>
      </c>
      <c r="P81" s="71"/>
    </row>
    <row r="82" spans="1:16" ht="99" customHeight="1" x14ac:dyDescent="0.3">
      <c r="A82" s="298" t="s">
        <v>161</v>
      </c>
      <c r="B82" s="69" t="str">
        <f>VLOOKUP(A82,URS確認!$E:$F,2,FALSE)</f>
        <v>申請不列印書面通知書維護</v>
      </c>
      <c r="C82" s="298">
        <v>2</v>
      </c>
      <c r="D82" s="74" t="s">
        <v>1563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8" t="s">
        <v>1479</v>
      </c>
      <c r="P82" s="71"/>
    </row>
    <row r="83" spans="1:16" ht="132" customHeight="1" x14ac:dyDescent="0.3">
      <c r="A83" s="298" t="s">
        <v>126</v>
      </c>
      <c r="B83" s="69" t="str">
        <f>VLOOKUP(A83,URS確認!$E:$F,2,FALSE)</f>
        <v>顧客基本資料維護-自然人</v>
      </c>
      <c r="C83" s="298">
        <v>1</v>
      </c>
      <c r="D83" s="74" t="s">
        <v>1564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122</v>
      </c>
      <c r="J83" s="298" t="s">
        <v>1479</v>
      </c>
      <c r="P83" s="71"/>
    </row>
    <row r="84" spans="1:16" x14ac:dyDescent="0.3">
      <c r="A84" s="298" t="s">
        <v>126</v>
      </c>
      <c r="B84" s="69" t="str">
        <f>VLOOKUP(A84,URS確認!$E:$F,2,FALSE)</f>
        <v>顧客基本資料維護-自然人</v>
      </c>
      <c r="C84" s="298">
        <v>2</v>
      </c>
      <c r="D84" s="74" t="s">
        <v>1565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122</v>
      </c>
      <c r="J84" s="298" t="s">
        <v>1479</v>
      </c>
      <c r="P84" s="71"/>
    </row>
    <row r="85" spans="1:16" x14ac:dyDescent="0.3">
      <c r="A85" s="298" t="s">
        <v>126</v>
      </c>
      <c r="B85" s="69" t="str">
        <f>VLOOKUP(A85,URS確認!$E:$F,2,FALSE)</f>
        <v>顧客基本資料維護-自然人</v>
      </c>
      <c r="C85" s="298">
        <v>3</v>
      </c>
      <c r="D85" s="74" t="s">
        <v>1566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122</v>
      </c>
      <c r="J85" s="298" t="s">
        <v>1479</v>
      </c>
      <c r="P85" s="71"/>
    </row>
    <row r="86" spans="1:16" ht="66" customHeight="1" x14ac:dyDescent="0.3">
      <c r="A86" s="298" t="s">
        <v>126</v>
      </c>
      <c r="B86" s="69" t="str">
        <f>VLOOKUP(A86,URS確認!$E:$F,2,FALSE)</f>
        <v>顧客基本資料維護-自然人</v>
      </c>
      <c r="C86" s="298">
        <v>4</v>
      </c>
      <c r="D86" s="74" t="s">
        <v>1567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122</v>
      </c>
      <c r="M86" s="298" t="s">
        <v>1495</v>
      </c>
      <c r="P86" s="71"/>
    </row>
    <row r="87" spans="1:16" x14ac:dyDescent="0.3">
      <c r="A87" s="298" t="s">
        <v>130</v>
      </c>
      <c r="B87" s="69" t="str">
        <f>VLOOKUP(A87,URS確認!$E:$F,2,FALSE)</f>
        <v>顧客基本資料維護-法人</v>
      </c>
      <c r="C87" s="298">
        <v>1</v>
      </c>
      <c r="D87" s="74" t="s">
        <v>1565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122</v>
      </c>
      <c r="J87" s="298" t="s">
        <v>1479</v>
      </c>
      <c r="L87" s="298" t="s">
        <v>1479</v>
      </c>
      <c r="P87" s="71"/>
    </row>
    <row r="88" spans="1:16" x14ac:dyDescent="0.3">
      <c r="A88" s="298" t="s">
        <v>130</v>
      </c>
      <c r="B88" s="69" t="str">
        <f>VLOOKUP(A88,URS確認!$E:$F,2,FALSE)</f>
        <v>顧客基本資料維護-法人</v>
      </c>
      <c r="C88" s="298">
        <v>2</v>
      </c>
      <c r="D88" s="74" t="s">
        <v>1566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122</v>
      </c>
      <c r="J88" s="298" t="s">
        <v>1479</v>
      </c>
      <c r="L88" s="298" t="s">
        <v>1479</v>
      </c>
      <c r="P88" s="71"/>
    </row>
    <row r="89" spans="1:16" x14ac:dyDescent="0.3">
      <c r="A89" s="298" t="s">
        <v>130</v>
      </c>
      <c r="B89" s="69" t="str">
        <f>VLOOKUP(A89,URS確認!$E:$F,2,FALSE)</f>
        <v>顧客基本資料維護-法人</v>
      </c>
      <c r="C89" s="298">
        <v>3</v>
      </c>
      <c r="D89" s="74" t="s">
        <v>1568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122</v>
      </c>
      <c r="J89" s="298" t="s">
        <v>1479</v>
      </c>
      <c r="L89" s="298" t="s">
        <v>1479</v>
      </c>
      <c r="P89" s="71"/>
    </row>
    <row r="90" spans="1:16" x14ac:dyDescent="0.3">
      <c r="A90" s="298" t="s">
        <v>130</v>
      </c>
      <c r="B90" s="69" t="str">
        <f>VLOOKUP(A90,URS確認!$E:$F,2,FALSE)</f>
        <v>顧客基本資料維護-法人</v>
      </c>
      <c r="C90" s="298">
        <v>4</v>
      </c>
      <c r="D90" s="74" t="s">
        <v>1569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122</v>
      </c>
      <c r="J90" s="298" t="s">
        <v>1479</v>
      </c>
      <c r="L90" s="298" t="s">
        <v>1479</v>
      </c>
      <c r="P90" s="71"/>
    </row>
    <row r="91" spans="1:16" x14ac:dyDescent="0.3">
      <c r="A91" s="298" t="s">
        <v>130</v>
      </c>
      <c r="B91" s="69" t="str">
        <f>VLOOKUP(A91,URS確認!$E:$F,2,FALSE)</f>
        <v>顧客基本資料維護-法人</v>
      </c>
      <c r="C91" s="298">
        <v>5</v>
      </c>
      <c r="D91" s="74" t="s">
        <v>1570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122</v>
      </c>
      <c r="J91" s="298" t="s">
        <v>1479</v>
      </c>
      <c r="L91" s="298" t="s">
        <v>1479</v>
      </c>
      <c r="P91" s="71"/>
    </row>
    <row r="92" spans="1:16" x14ac:dyDescent="0.3">
      <c r="A92" s="298" t="s">
        <v>130</v>
      </c>
      <c r="B92" s="69" t="str">
        <f>VLOOKUP(A92,URS確認!$E:$F,2,FALSE)</f>
        <v>顧客基本資料維護-法人</v>
      </c>
      <c r="C92" s="298">
        <v>6</v>
      </c>
      <c r="D92" s="74" t="s">
        <v>1571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122</v>
      </c>
      <c r="J92" s="298" t="s">
        <v>1479</v>
      </c>
      <c r="L92" s="298" t="s">
        <v>1479</v>
      </c>
      <c r="P92" s="71"/>
    </row>
    <row r="93" spans="1:16" ht="66" customHeight="1" x14ac:dyDescent="0.3">
      <c r="A93" s="298" t="s">
        <v>130</v>
      </c>
      <c r="B93" s="69" t="str">
        <f>VLOOKUP(A93,URS確認!$E:$F,2,FALSE)</f>
        <v>顧客基本資料維護-法人</v>
      </c>
      <c r="C93" s="298">
        <v>7</v>
      </c>
      <c r="D93" s="74" t="s">
        <v>1537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122</v>
      </c>
      <c r="N93" s="298" t="s">
        <v>1479</v>
      </c>
      <c r="P93" s="71"/>
    </row>
    <row r="94" spans="1:16" ht="82.5" customHeight="1" x14ac:dyDescent="0.3">
      <c r="A94" s="298" t="s">
        <v>130</v>
      </c>
      <c r="B94" s="69" t="str">
        <f>VLOOKUP(A94,URS確認!$E:$F,2,FALSE)</f>
        <v>顧客基本資料維護-法人</v>
      </c>
      <c r="C94" s="298">
        <v>8</v>
      </c>
      <c r="D94" s="74" t="s">
        <v>1572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122</v>
      </c>
      <c r="N94" s="298" t="s">
        <v>1479</v>
      </c>
      <c r="P94" s="71"/>
    </row>
    <row r="95" spans="1:16" ht="33" customHeight="1" x14ac:dyDescent="0.3">
      <c r="A95" s="298" t="s">
        <v>130</v>
      </c>
      <c r="B95" s="69" t="str">
        <f>VLOOKUP(A95,URS確認!$E:$F,2,FALSE)</f>
        <v>顧客基本資料維護-法人</v>
      </c>
      <c r="C95" s="298">
        <v>9</v>
      </c>
      <c r="D95" s="74" t="s">
        <v>1573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122</v>
      </c>
      <c r="M95" s="298" t="s">
        <v>1486</v>
      </c>
      <c r="P95" s="71"/>
    </row>
    <row r="96" spans="1:16" x14ac:dyDescent="0.3">
      <c r="A96" s="298" t="s">
        <v>130</v>
      </c>
      <c r="B96" s="69" t="str">
        <f>VLOOKUP(A96,URS確認!$E:$F,2,FALSE)</f>
        <v>顧客基本資料維護-法人</v>
      </c>
      <c r="C96" s="298">
        <v>10</v>
      </c>
      <c r="D96" s="74" t="s">
        <v>1574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122</v>
      </c>
      <c r="M96" s="298" t="s">
        <v>1495</v>
      </c>
      <c r="P96" s="71"/>
    </row>
    <row r="97" spans="1:16" ht="33" customHeight="1" x14ac:dyDescent="0.3">
      <c r="A97" s="298" t="s">
        <v>130</v>
      </c>
      <c r="B97" s="69" t="str">
        <f>VLOOKUP(A97,URS確認!$E:$F,2,FALSE)</f>
        <v>顧客基本資料維護-法人</v>
      </c>
      <c r="C97" s="298">
        <v>11</v>
      </c>
      <c r="D97" s="74" t="s">
        <v>1575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122</v>
      </c>
      <c r="M97" s="298" t="s">
        <v>1495</v>
      </c>
      <c r="P97" s="71"/>
    </row>
    <row r="98" spans="1:16" x14ac:dyDescent="0.3">
      <c r="A98" s="298" t="s">
        <v>137</v>
      </c>
      <c r="B98" s="69" t="str">
        <f>VLOOKUP(A98,URS確認!$E:$F,2,FALSE)</f>
        <v>顧客基本資料修改-法人</v>
      </c>
      <c r="C98" s="298">
        <v>1</v>
      </c>
      <c r="D98" s="74" t="s">
        <v>1576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122</v>
      </c>
      <c r="N98" s="298" t="s">
        <v>1479</v>
      </c>
      <c r="P98" s="71"/>
    </row>
    <row r="99" spans="1:16" ht="66" customHeight="1" x14ac:dyDescent="0.3">
      <c r="A99" s="298" t="s">
        <v>137</v>
      </c>
      <c r="B99" s="69" t="str">
        <f>VLOOKUP(A99,URS確認!$E:$F,2,FALSE)</f>
        <v>顧客基本資料修改-法人</v>
      </c>
      <c r="C99" s="298">
        <v>2</v>
      </c>
      <c r="D99" s="74" t="s">
        <v>1537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122</v>
      </c>
      <c r="N99" s="298" t="s">
        <v>1479</v>
      </c>
      <c r="P99" s="71"/>
    </row>
    <row r="100" spans="1:16" x14ac:dyDescent="0.3">
      <c r="A100" s="298" t="s">
        <v>137</v>
      </c>
      <c r="B100" s="69" t="str">
        <f>VLOOKUP(A100,URS確認!$E:$F,2,FALSE)</f>
        <v>顧客基本資料修改-法人</v>
      </c>
      <c r="C100" s="298">
        <v>3</v>
      </c>
      <c r="D100" s="74" t="s">
        <v>1577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122</v>
      </c>
      <c r="N100" s="298" t="s">
        <v>1479</v>
      </c>
      <c r="P100" s="71"/>
    </row>
    <row r="101" spans="1:16" x14ac:dyDescent="0.3">
      <c r="A101" s="298" t="s">
        <v>137</v>
      </c>
      <c r="B101" s="69" t="str">
        <f>VLOOKUP(A101,URS確認!$E:$F,2,FALSE)</f>
        <v>顧客基本資料修改-法人</v>
      </c>
      <c r="C101" s="298">
        <v>4</v>
      </c>
      <c r="D101" s="74" t="s">
        <v>1578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122</v>
      </c>
      <c r="M101" s="298" t="s">
        <v>1495</v>
      </c>
      <c r="P101" s="71"/>
    </row>
    <row r="102" spans="1:16" ht="66" customHeight="1" x14ac:dyDescent="0.3">
      <c r="A102" s="298" t="s">
        <v>137</v>
      </c>
      <c r="B102" s="69" t="str">
        <f>VLOOKUP(A102,URS確認!$E:$F,2,FALSE)</f>
        <v>顧客基本資料修改-法人</v>
      </c>
      <c r="C102" s="298">
        <v>5</v>
      </c>
      <c r="D102" s="74" t="s">
        <v>1538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122</v>
      </c>
      <c r="N102" s="298" t="s">
        <v>1479</v>
      </c>
      <c r="P102" s="71"/>
    </row>
    <row r="103" spans="1:16" x14ac:dyDescent="0.3">
      <c r="A103" s="298" t="s">
        <v>137</v>
      </c>
      <c r="B103" s="69" t="str">
        <f>VLOOKUP(A103,URS確認!$E:$F,2,FALSE)</f>
        <v>顧客基本資料修改-法人</v>
      </c>
      <c r="C103" s="298">
        <v>6</v>
      </c>
      <c r="D103" s="74" t="s">
        <v>1540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122</v>
      </c>
      <c r="L103" s="298" t="s">
        <v>1479</v>
      </c>
      <c r="P103" s="71"/>
    </row>
    <row r="104" spans="1:16" ht="33" customHeight="1" x14ac:dyDescent="0.3">
      <c r="A104" s="298" t="s">
        <v>137</v>
      </c>
      <c r="B104" s="69" t="str">
        <f>VLOOKUP(A104,URS確認!$E:$F,2,FALSE)</f>
        <v>顧客基本資料修改-法人</v>
      </c>
      <c r="C104" s="298">
        <v>7</v>
      </c>
      <c r="D104" s="74" t="s">
        <v>1579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122</v>
      </c>
      <c r="L104" s="298" t="s">
        <v>1479</v>
      </c>
      <c r="P104" s="71"/>
    </row>
    <row r="105" spans="1:16" ht="33" customHeight="1" x14ac:dyDescent="0.3">
      <c r="A105" s="298" t="s">
        <v>1404</v>
      </c>
      <c r="B105" s="69" t="e">
        <f>VLOOKUP(A105,URS確認!$E:$F,2,FALSE)</f>
        <v>#N/A</v>
      </c>
      <c r="C105" s="298">
        <v>1</v>
      </c>
      <c r="D105" s="74" t="s">
        <v>1580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8" t="s">
        <v>1479</v>
      </c>
      <c r="P105" s="71"/>
    </row>
    <row r="106" spans="1:16" ht="33" customHeight="1" x14ac:dyDescent="0.3">
      <c r="A106" s="298" t="s">
        <v>1404</v>
      </c>
      <c r="B106" s="69" t="e">
        <f>VLOOKUP(A106,URS確認!$E:$F,2,FALSE)</f>
        <v>#N/A</v>
      </c>
      <c r="C106" s="298">
        <v>2</v>
      </c>
      <c r="D106" s="74" t="s">
        <v>1581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8" t="s">
        <v>1479</v>
      </c>
      <c r="P106" s="71"/>
    </row>
    <row r="107" spans="1:16" ht="33" customHeight="1" x14ac:dyDescent="0.3">
      <c r="A107" s="298" t="s">
        <v>1404</v>
      </c>
      <c r="B107" s="69" t="e">
        <f>VLOOKUP(A107,URS確認!$E:$F,2,FALSE)</f>
        <v>#N/A</v>
      </c>
      <c r="C107" s="298">
        <v>3</v>
      </c>
      <c r="D107" s="74" t="s">
        <v>1582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8" t="s">
        <v>1479</v>
      </c>
      <c r="P107" s="71"/>
    </row>
    <row r="108" spans="1:16" x14ac:dyDescent="0.3">
      <c r="A108" s="298" t="s">
        <v>1583</v>
      </c>
      <c r="B108" s="69" t="s">
        <v>1584</v>
      </c>
      <c r="C108" s="298">
        <v>1</v>
      </c>
      <c r="D108" s="74" t="s">
        <v>1585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1530</v>
      </c>
      <c r="L108" s="298" t="s">
        <v>1479</v>
      </c>
      <c r="P108" s="71"/>
    </row>
    <row r="109" spans="1:16" x14ac:dyDescent="0.3">
      <c r="A109" s="298" t="s">
        <v>1583</v>
      </c>
      <c r="B109" s="69" t="s">
        <v>1584</v>
      </c>
      <c r="C109" s="298">
        <v>2</v>
      </c>
      <c r="D109" s="74" t="s">
        <v>1586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1530</v>
      </c>
      <c r="L109" s="298" t="s">
        <v>1479</v>
      </c>
      <c r="P109" s="71"/>
    </row>
    <row r="110" spans="1:16" x14ac:dyDescent="0.3">
      <c r="A110" s="298" t="s">
        <v>1583</v>
      </c>
      <c r="B110" s="69" t="s">
        <v>1584</v>
      </c>
      <c r="C110" s="298">
        <v>3</v>
      </c>
      <c r="D110" s="74" t="s">
        <v>1587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1530</v>
      </c>
      <c r="L110" s="298" t="s">
        <v>1479</v>
      </c>
      <c r="P110" s="71"/>
    </row>
    <row r="111" spans="1:16" x14ac:dyDescent="0.3">
      <c r="A111" s="298" t="s">
        <v>1583</v>
      </c>
      <c r="B111" s="69" t="s">
        <v>1584</v>
      </c>
      <c r="C111" s="298">
        <v>4</v>
      </c>
      <c r="D111" s="74" t="s">
        <v>1588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1530</v>
      </c>
      <c r="L111" s="298" t="s">
        <v>1479</v>
      </c>
      <c r="P111" s="71"/>
    </row>
    <row r="112" spans="1:16" ht="33" customHeight="1" x14ac:dyDescent="0.3">
      <c r="A112" s="298" t="s">
        <v>1583</v>
      </c>
      <c r="B112" s="69" t="s">
        <v>1584</v>
      </c>
      <c r="C112" s="298">
        <v>5</v>
      </c>
      <c r="D112" s="74" t="s">
        <v>1589</v>
      </c>
      <c r="E112" s="71">
        <v>44403</v>
      </c>
      <c r="F112" s="113" t="s">
        <v>1521</v>
      </c>
      <c r="G112" s="71">
        <v>44440</v>
      </c>
      <c r="H112" s="71">
        <f t="shared" si="3"/>
        <v>44440</v>
      </c>
      <c r="I112" s="70" t="s">
        <v>1530</v>
      </c>
      <c r="P112" s="71"/>
    </row>
    <row r="113" spans="1:16" x14ac:dyDescent="0.3">
      <c r="A113" s="298" t="s">
        <v>832</v>
      </c>
      <c r="B113" s="69" t="str">
        <f>VLOOKUP(A113,URS確認!$E:$F,2,FALSE)</f>
        <v>指標利率種類維護</v>
      </c>
      <c r="C113" s="298">
        <v>1</v>
      </c>
      <c r="D113" s="74" t="s">
        <v>1590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8" t="s">
        <v>1495</v>
      </c>
      <c r="P113" s="71" t="s">
        <v>1591</v>
      </c>
    </row>
    <row r="114" spans="1:16" x14ac:dyDescent="0.3">
      <c r="A114" s="298" t="s">
        <v>834</v>
      </c>
      <c r="B114" s="69" t="str">
        <f>VLOOKUP(A114,URS確認!$E:$F,2,FALSE)</f>
        <v>指標利率登錄/維護</v>
      </c>
      <c r="C114" s="298">
        <v>1</v>
      </c>
      <c r="D114" s="74" t="s">
        <v>1592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8" t="s">
        <v>1479</v>
      </c>
      <c r="P114" s="71"/>
    </row>
    <row r="115" spans="1:16" x14ac:dyDescent="0.3">
      <c r="A115" s="298" t="s">
        <v>185</v>
      </c>
      <c r="B115" s="69" t="str">
        <f>VLOOKUP(A115,URS確認!$E:$F,2,FALSE)</f>
        <v>商品參數維護</v>
      </c>
      <c r="C115" s="298">
        <v>1</v>
      </c>
      <c r="D115" s="74" t="s">
        <v>1593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8" t="s">
        <v>1479</v>
      </c>
      <c r="P115" s="71"/>
    </row>
    <row r="116" spans="1:16" x14ac:dyDescent="0.3">
      <c r="A116" s="298" t="s">
        <v>185</v>
      </c>
      <c r="B116" s="69" t="str">
        <f>VLOOKUP(A116,URS確認!$E:$F,2,FALSE)</f>
        <v>商品參數維護</v>
      </c>
      <c r="C116" s="298">
        <v>2</v>
      </c>
      <c r="D116" s="74" t="s">
        <v>1594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8" t="s">
        <v>1479</v>
      </c>
      <c r="P116" s="71"/>
    </row>
    <row r="117" spans="1:16" x14ac:dyDescent="0.3">
      <c r="A117" s="298" t="s">
        <v>185</v>
      </c>
      <c r="B117" s="69" t="str">
        <f>VLOOKUP(A117,URS確認!$E:$F,2,FALSE)</f>
        <v>商品參數維護</v>
      </c>
      <c r="C117" s="298">
        <v>3</v>
      </c>
      <c r="D117" s="74" t="s">
        <v>1595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8" t="s">
        <v>1495</v>
      </c>
      <c r="P117" s="71" t="s">
        <v>1487</v>
      </c>
    </row>
    <row r="118" spans="1:16" x14ac:dyDescent="0.3">
      <c r="A118" s="298" t="s">
        <v>185</v>
      </c>
      <c r="B118" s="69" t="str">
        <f>VLOOKUP(A118,URS確認!$E:$F,2,FALSE)</f>
        <v>商品參數維護</v>
      </c>
      <c r="C118" s="298">
        <v>4</v>
      </c>
      <c r="D118" s="74" t="s">
        <v>1596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8" t="s">
        <v>1495</v>
      </c>
      <c r="P118" s="71" t="s">
        <v>1487</v>
      </c>
    </row>
    <row r="119" spans="1:16" x14ac:dyDescent="0.3">
      <c r="A119" s="298" t="s">
        <v>185</v>
      </c>
      <c r="B119" s="69" t="str">
        <f>VLOOKUP(A119,URS確認!$E:$F,2,FALSE)</f>
        <v>商品參數維護</v>
      </c>
      <c r="C119" s="298">
        <v>5</v>
      </c>
      <c r="D119" s="74" t="s">
        <v>1597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8" t="s">
        <v>1495</v>
      </c>
      <c r="P119" s="71" t="s">
        <v>1598</v>
      </c>
    </row>
    <row r="120" spans="1:16" x14ac:dyDescent="0.3">
      <c r="A120" s="298" t="s">
        <v>187</v>
      </c>
      <c r="B120" s="69" t="str">
        <f>VLOOKUP(A120,URS確認!$E:$F,2,FALSE)</f>
        <v xml:space="preserve">申請案件明細資料查詢                    </v>
      </c>
      <c r="C120" s="298">
        <v>1</v>
      </c>
      <c r="D120" s="74" t="s">
        <v>1599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8" t="s">
        <v>1479</v>
      </c>
      <c r="P120" s="71"/>
    </row>
    <row r="121" spans="1:16" ht="33" customHeight="1" x14ac:dyDescent="0.3">
      <c r="A121" s="298" t="s">
        <v>187</v>
      </c>
      <c r="B121" s="69" t="str">
        <f>VLOOKUP(A121,URS確認!$E:$F,2,FALSE)</f>
        <v xml:space="preserve">申請案件明細資料查詢                    </v>
      </c>
      <c r="C121" s="298">
        <v>2</v>
      </c>
      <c r="D121" s="74" t="s">
        <v>1600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8" t="s">
        <v>1479</v>
      </c>
      <c r="P121" s="71"/>
    </row>
    <row r="122" spans="1:16" x14ac:dyDescent="0.3">
      <c r="A122" s="298" t="s">
        <v>191</v>
      </c>
      <c r="B122" s="69" t="str">
        <f>VLOOKUP(A122,URS確認!$E:$F,2,FALSE)</f>
        <v>案件申請登錄</v>
      </c>
      <c r="C122" s="298">
        <v>1</v>
      </c>
      <c r="D122" s="74" t="s">
        <v>1574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8" t="s">
        <v>1495</v>
      </c>
      <c r="P122" s="71"/>
    </row>
    <row r="123" spans="1:16" x14ac:dyDescent="0.3">
      <c r="A123" s="298" t="s">
        <v>191</v>
      </c>
      <c r="B123" s="69" t="str">
        <f>VLOOKUP(A123,URS確認!$E:$F,2,FALSE)</f>
        <v>案件申請登錄</v>
      </c>
      <c r="C123" s="298">
        <v>2</v>
      </c>
      <c r="D123" s="74" t="s">
        <v>1601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8" t="s">
        <v>1479</v>
      </c>
      <c r="P123" s="71"/>
    </row>
    <row r="124" spans="1:16" ht="33" customHeight="1" x14ac:dyDescent="0.3">
      <c r="A124" s="298" t="s">
        <v>193</v>
      </c>
      <c r="B124" s="69" t="str">
        <f>VLOOKUP(A124,URS確認!$E:$F,2,FALSE)</f>
        <v>核准額度登錄</v>
      </c>
      <c r="C124" s="298">
        <v>3</v>
      </c>
      <c r="D124" s="74" t="s">
        <v>1602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8" t="s">
        <v>1495</v>
      </c>
      <c r="P124" s="71" t="s">
        <v>1487</v>
      </c>
    </row>
    <row r="125" spans="1:16" ht="33" customHeight="1" x14ac:dyDescent="0.3">
      <c r="A125" s="298" t="s">
        <v>193</v>
      </c>
      <c r="B125" s="69" t="str">
        <f>VLOOKUP(A125,URS確認!$E:$F,2,FALSE)</f>
        <v>核准額度登錄</v>
      </c>
      <c r="C125" s="298">
        <v>4</v>
      </c>
      <c r="D125" s="74" t="s">
        <v>1603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8" t="s">
        <v>1495</v>
      </c>
      <c r="P125" s="71" t="s">
        <v>1487</v>
      </c>
    </row>
    <row r="126" spans="1:16" x14ac:dyDescent="0.3">
      <c r="A126" s="298" t="s">
        <v>191</v>
      </c>
      <c r="B126" s="69" t="str">
        <f>VLOOKUP(A126,URS確認!$E:$F,2,FALSE)</f>
        <v>案件申請登錄</v>
      </c>
      <c r="C126" s="298">
        <v>5</v>
      </c>
      <c r="D126" s="74" t="s">
        <v>1604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8" t="s">
        <v>1495</v>
      </c>
      <c r="P126" s="71" t="s">
        <v>1487</v>
      </c>
    </row>
    <row r="127" spans="1:16" x14ac:dyDescent="0.3">
      <c r="A127" s="298" t="s">
        <v>191</v>
      </c>
      <c r="B127" s="69" t="str">
        <f>VLOOKUP(A127,URS確認!$E:$F,2,FALSE)</f>
        <v>案件申請登錄</v>
      </c>
      <c r="C127" s="298">
        <v>6</v>
      </c>
      <c r="D127" s="74" t="s">
        <v>1605</v>
      </c>
      <c r="E127" s="71">
        <v>44403</v>
      </c>
      <c r="F127" s="71" t="s">
        <v>1521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98" t="s">
        <v>191</v>
      </c>
      <c r="B128" s="69" t="str">
        <f>VLOOKUP(A128,URS確認!$E:$F,2,FALSE)</f>
        <v>案件申請登錄</v>
      </c>
      <c r="C128" s="298">
        <v>7</v>
      </c>
      <c r="D128" s="74" t="s">
        <v>1606</v>
      </c>
      <c r="E128" s="71">
        <v>44403</v>
      </c>
      <c r="F128" s="71" t="s">
        <v>1521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98" t="s">
        <v>191</v>
      </c>
      <c r="B129" s="69" t="str">
        <f>VLOOKUP(A129,URS確認!$E:$F,2,FALSE)</f>
        <v>案件申請登錄</v>
      </c>
      <c r="C129" s="298">
        <v>8</v>
      </c>
      <c r="D129" s="74" t="s">
        <v>1607</v>
      </c>
      <c r="E129" s="71">
        <v>44403</v>
      </c>
      <c r="F129" s="71" t="s">
        <v>1521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1591</v>
      </c>
    </row>
    <row r="130" spans="1:16" ht="33" customHeight="1" x14ac:dyDescent="0.3">
      <c r="A130" s="77" t="s">
        <v>198</v>
      </c>
      <c r="B130" s="69" t="str">
        <f>VLOOKUP(A130,URS確認!$E:$F,2,FALSE)</f>
        <v xml:space="preserve">團體戶申請登錄                          </v>
      </c>
      <c r="C130" s="298">
        <v>1</v>
      </c>
      <c r="D130" s="74" t="s">
        <v>1608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8" t="s">
        <v>1479</v>
      </c>
      <c r="P130" s="71"/>
    </row>
    <row r="131" spans="1:16" x14ac:dyDescent="0.3">
      <c r="A131" s="77" t="s">
        <v>198</v>
      </c>
      <c r="B131" s="69" t="str">
        <f>VLOOKUP(A131,URS確認!$E:$F,2,FALSE)</f>
        <v xml:space="preserve">團體戶申請登錄                          </v>
      </c>
      <c r="C131" s="298">
        <v>2</v>
      </c>
      <c r="D131" s="74" t="s">
        <v>1609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8" t="s">
        <v>1479</v>
      </c>
      <c r="P131" s="71"/>
    </row>
    <row r="132" spans="1:16" x14ac:dyDescent="0.3">
      <c r="A132" s="77" t="s">
        <v>198</v>
      </c>
      <c r="B132" s="69" t="str">
        <f>VLOOKUP(A132,URS確認!$E:$F,2,FALSE)</f>
        <v xml:space="preserve">團體戶申請登錄                          </v>
      </c>
      <c r="C132" s="298">
        <v>3</v>
      </c>
      <c r="D132" s="74" t="s">
        <v>1610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8" t="s">
        <v>1479</v>
      </c>
      <c r="P132" s="71"/>
    </row>
    <row r="133" spans="1:16" x14ac:dyDescent="0.3">
      <c r="A133" s="298" t="s">
        <v>193</v>
      </c>
      <c r="B133" s="69" t="str">
        <f>VLOOKUP(A133,URS確認!$E:$F,2,FALSE)</f>
        <v>核准額度登錄</v>
      </c>
      <c r="C133" s="298">
        <v>1</v>
      </c>
      <c r="D133" s="74" t="s">
        <v>1611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8" t="s">
        <v>1479</v>
      </c>
      <c r="P133" s="71"/>
    </row>
    <row r="134" spans="1:16" ht="33" customHeight="1" x14ac:dyDescent="0.3">
      <c r="A134" s="298" t="s">
        <v>193</v>
      </c>
      <c r="B134" s="69" t="str">
        <f>VLOOKUP(A134,URS確認!$E:$F,2,FALSE)</f>
        <v>核准額度登錄</v>
      </c>
      <c r="C134" s="298">
        <v>2</v>
      </c>
      <c r="D134" s="74" t="s">
        <v>1612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8" t="s">
        <v>1479</v>
      </c>
      <c r="P134" s="70"/>
    </row>
    <row r="135" spans="1:16" x14ac:dyDescent="0.3">
      <c r="A135" s="298" t="s">
        <v>193</v>
      </c>
      <c r="B135" s="69" t="str">
        <f>VLOOKUP(A135,URS確認!$E:$F,2,FALSE)</f>
        <v>核准額度登錄</v>
      </c>
      <c r="C135" s="298">
        <v>3</v>
      </c>
      <c r="D135" s="74" t="s">
        <v>1613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8" t="s">
        <v>1495</v>
      </c>
      <c r="P135" s="71" t="s">
        <v>1487</v>
      </c>
    </row>
    <row r="136" spans="1:16" ht="34" customHeight="1" x14ac:dyDescent="0.3">
      <c r="A136" s="298" t="s">
        <v>193</v>
      </c>
      <c r="B136" s="69" t="str">
        <f>VLOOKUP(A136,URS確認!$E:$F,2,FALSE)</f>
        <v>核准額度登錄</v>
      </c>
      <c r="C136" s="298">
        <v>4</v>
      </c>
      <c r="D136" s="74" t="s">
        <v>1614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8" t="s">
        <v>1479</v>
      </c>
      <c r="P136" s="71" t="s">
        <v>1598</v>
      </c>
    </row>
    <row r="137" spans="1:16" x14ac:dyDescent="0.3">
      <c r="A137" s="298" t="s">
        <v>193</v>
      </c>
      <c r="B137" s="69" t="str">
        <f>VLOOKUP(A137,URS確認!$E:$F,2,FALSE)</f>
        <v>核准額度登錄</v>
      </c>
      <c r="C137" s="298">
        <v>5</v>
      </c>
      <c r="D137" s="74" t="s">
        <v>1615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8" t="s">
        <v>1479</v>
      </c>
      <c r="P137" s="70"/>
    </row>
    <row r="138" spans="1:16" x14ac:dyDescent="0.3">
      <c r="A138" s="298" t="s">
        <v>193</v>
      </c>
      <c r="B138" s="69" t="str">
        <f>VLOOKUP(A138,URS確認!$E:$F,2,FALSE)</f>
        <v>核准額度登錄</v>
      </c>
      <c r="C138" s="298">
        <v>6</v>
      </c>
      <c r="D138" s="74" t="s">
        <v>1616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8" t="s">
        <v>1479</v>
      </c>
      <c r="P138" s="70"/>
    </row>
    <row r="139" spans="1:16" x14ac:dyDescent="0.3">
      <c r="A139" s="298" t="s">
        <v>193</v>
      </c>
      <c r="B139" s="69" t="str">
        <f>VLOOKUP(A139,URS確認!$E:$F,2,FALSE)</f>
        <v>核准額度登錄</v>
      </c>
      <c r="C139" s="298">
        <v>7</v>
      </c>
      <c r="D139" s="74" t="s">
        <v>1617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8" t="s">
        <v>1495</v>
      </c>
      <c r="P139" s="71"/>
    </row>
    <row r="140" spans="1:16" x14ac:dyDescent="0.3">
      <c r="A140" s="298" t="s">
        <v>193</v>
      </c>
      <c r="B140" s="69" t="str">
        <f>VLOOKUP(A140,URS確認!$E:$F,2,FALSE)</f>
        <v>核准額度登錄</v>
      </c>
      <c r="C140" s="298">
        <v>8</v>
      </c>
      <c r="D140" s="74" t="s">
        <v>1618</v>
      </c>
      <c r="E140" s="71">
        <v>44403</v>
      </c>
      <c r="F140" s="71" t="s">
        <v>1521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98" t="s">
        <v>193</v>
      </c>
      <c r="B141" s="69" t="str">
        <f>VLOOKUP(A141,URS確認!$E:$F,2,FALSE)</f>
        <v>核准額度登錄</v>
      </c>
      <c r="C141" s="298">
        <v>9</v>
      </c>
      <c r="D141" s="74" t="s">
        <v>1619</v>
      </c>
      <c r="E141" s="71">
        <v>44403</v>
      </c>
      <c r="F141" s="71" t="s">
        <v>1521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98" t="s">
        <v>201</v>
      </c>
      <c r="B142" s="69" t="str">
        <f>VLOOKUP(A142,URS確認!$E:$F,2,FALSE)</f>
        <v xml:space="preserve">額度明細資料查詢                        </v>
      </c>
      <c r="C142" s="298">
        <v>1</v>
      </c>
      <c r="D142" s="74" t="s">
        <v>1620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8" t="s">
        <v>1479</v>
      </c>
      <c r="P142" s="71"/>
    </row>
    <row r="143" spans="1:16" ht="66" customHeight="1" x14ac:dyDescent="0.3">
      <c r="A143" s="298" t="s">
        <v>204</v>
      </c>
      <c r="B143" s="69" t="str">
        <f>VLOOKUP(A143,URS確認!$E:$F,2,FALSE)</f>
        <v xml:space="preserve">額度資料維護                            </v>
      </c>
      <c r="C143" s="298">
        <v>1</v>
      </c>
      <c r="D143" s="74" t="s">
        <v>1621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8" t="s">
        <v>1495</v>
      </c>
      <c r="P143" s="71" t="s">
        <v>1591</v>
      </c>
    </row>
    <row r="144" spans="1:16" x14ac:dyDescent="0.3">
      <c r="A144" s="298" t="s">
        <v>204</v>
      </c>
      <c r="B144" s="69" t="str">
        <f>VLOOKUP(A144,URS確認!$E:$F,2,FALSE)</f>
        <v xml:space="preserve">額度資料維護                            </v>
      </c>
      <c r="C144" s="298">
        <v>2</v>
      </c>
      <c r="D144" s="74" t="s">
        <v>1622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8" t="s">
        <v>1479</v>
      </c>
      <c r="P144" s="70"/>
    </row>
    <row r="145" spans="1:16" x14ac:dyDescent="0.3">
      <c r="A145" s="298" t="s">
        <v>204</v>
      </c>
      <c r="B145" s="69" t="str">
        <f>VLOOKUP(A145,URS確認!$E:$F,2,FALSE)</f>
        <v xml:space="preserve">額度資料維護                            </v>
      </c>
      <c r="C145" s="298">
        <v>3</v>
      </c>
      <c r="D145" s="74" t="s">
        <v>1623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8" t="s">
        <v>1479</v>
      </c>
      <c r="P145" s="71"/>
    </row>
    <row r="146" spans="1:16" x14ac:dyDescent="0.3">
      <c r="A146" s="298" t="s">
        <v>204</v>
      </c>
      <c r="B146" s="69" t="str">
        <f>VLOOKUP(A146,URS確認!$E:$F,2,FALSE)</f>
        <v xml:space="preserve">額度資料維護                            </v>
      </c>
      <c r="C146" s="298">
        <v>4</v>
      </c>
      <c r="D146" s="74" t="s">
        <v>1624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8" t="s">
        <v>1479</v>
      </c>
      <c r="P146" s="70"/>
    </row>
    <row r="147" spans="1:16" x14ac:dyDescent="0.3">
      <c r="A147" s="298" t="s">
        <v>204</v>
      </c>
      <c r="B147" s="69" t="str">
        <f>VLOOKUP(A147,URS確認!$E:$F,2,FALSE)</f>
        <v xml:space="preserve">額度資料維護                            </v>
      </c>
      <c r="C147" s="298">
        <v>5</v>
      </c>
      <c r="D147" s="74" t="s">
        <v>1625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8" t="s">
        <v>1479</v>
      </c>
      <c r="P147" s="71"/>
    </row>
    <row r="148" spans="1:16" x14ac:dyDescent="0.3">
      <c r="A148" s="298" t="s">
        <v>204</v>
      </c>
      <c r="B148" s="69" t="str">
        <f>VLOOKUP(A148,URS確認!$E:$F,2,FALSE)</f>
        <v xml:space="preserve">額度資料維護                            </v>
      </c>
      <c r="C148" s="298">
        <v>6</v>
      </c>
      <c r="D148" s="74" t="s">
        <v>1626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8" t="s">
        <v>1479</v>
      </c>
      <c r="P148" s="70"/>
    </row>
    <row r="149" spans="1:16" ht="33" customHeight="1" x14ac:dyDescent="0.3">
      <c r="A149" s="72" t="s">
        <v>204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1627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179</v>
      </c>
      <c r="M149" s="298" t="s">
        <v>1495</v>
      </c>
      <c r="P149" s="70" t="s">
        <v>1515</v>
      </c>
    </row>
    <row r="150" spans="1:16" x14ac:dyDescent="0.3">
      <c r="A150" s="72" t="s">
        <v>207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1628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8" t="s">
        <v>1479</v>
      </c>
      <c r="P150" s="70"/>
    </row>
    <row r="151" spans="1:16" ht="99" customHeight="1" x14ac:dyDescent="0.3">
      <c r="A151" s="298" t="s">
        <v>312</v>
      </c>
      <c r="B151" s="69" t="str">
        <f>VLOOKUP(A151,URS確認!$E:$F,2,FALSE)</f>
        <v xml:space="preserve">撥款                     </v>
      </c>
      <c r="C151" s="298">
        <v>1</v>
      </c>
      <c r="D151" s="74" t="s">
        <v>1629</v>
      </c>
      <c r="E151" s="71">
        <v>44404</v>
      </c>
      <c r="F151" s="73" t="s">
        <v>1630</v>
      </c>
      <c r="G151" s="73" t="s">
        <v>1630</v>
      </c>
      <c r="H151" s="73" t="s">
        <v>1630</v>
      </c>
      <c r="I151" s="70" t="s">
        <v>179</v>
      </c>
      <c r="N151" s="298" t="s">
        <v>1479</v>
      </c>
      <c r="P151" s="71" t="s">
        <v>1515</v>
      </c>
    </row>
    <row r="152" spans="1:16" x14ac:dyDescent="0.3">
      <c r="A152" s="298" t="s">
        <v>1393</v>
      </c>
      <c r="B152" s="69" t="s">
        <v>1394</v>
      </c>
      <c r="C152" s="298">
        <v>1</v>
      </c>
      <c r="D152" s="74" t="s">
        <v>1631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189</v>
      </c>
      <c r="L152" s="298" t="s">
        <v>1479</v>
      </c>
      <c r="P152" s="71"/>
    </row>
    <row r="153" spans="1:16" ht="34" customHeight="1" x14ac:dyDescent="0.3">
      <c r="A153" s="298" t="s">
        <v>222</v>
      </c>
      <c r="B153" s="69" t="str">
        <f>VLOOKUP(A153,URS確認!$E:$F,2,FALSE)</f>
        <v>未齊件代碼維護</v>
      </c>
      <c r="C153" s="298">
        <v>1</v>
      </c>
      <c r="D153" s="74" t="s">
        <v>1632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8" t="s">
        <v>1479</v>
      </c>
      <c r="P153" s="71"/>
    </row>
    <row r="154" spans="1:16" x14ac:dyDescent="0.3">
      <c r="A154" s="298" t="s">
        <v>222</v>
      </c>
      <c r="B154" s="69" t="str">
        <f>VLOOKUP(A154,URS確認!$E:$F,2,FALSE)</f>
        <v>未齊件代碼維護</v>
      </c>
      <c r="C154" s="298">
        <v>2</v>
      </c>
      <c r="D154" s="74" t="s">
        <v>1633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8" t="s">
        <v>1479</v>
      </c>
      <c r="P154" s="71"/>
    </row>
    <row r="155" spans="1:16" ht="66" customHeight="1" x14ac:dyDescent="0.3">
      <c r="A155" s="298" t="s">
        <v>222</v>
      </c>
      <c r="B155" s="69" t="str">
        <f>VLOOKUP(A155,URS確認!$E:$F,2,FALSE)</f>
        <v>未齊件代碼維護</v>
      </c>
      <c r="C155" s="298">
        <v>3</v>
      </c>
      <c r="D155" s="74" t="s">
        <v>1634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8" t="s">
        <v>1495</v>
      </c>
      <c r="P155" s="71"/>
    </row>
    <row r="156" spans="1:16" ht="49.5" customHeight="1" x14ac:dyDescent="0.3">
      <c r="A156" s="298" t="s">
        <v>224</v>
      </c>
      <c r="B156" s="69" t="str">
        <f>VLOOKUP(A156,URS確認!$E:$F,2,FALSE)</f>
        <v xml:space="preserve">未齊件資料查詢                          </v>
      </c>
      <c r="C156" s="298">
        <v>1</v>
      </c>
      <c r="D156" s="123" t="s">
        <v>1635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8" t="s">
        <v>1479</v>
      </c>
      <c r="P156" s="71"/>
    </row>
    <row r="157" spans="1:16" ht="82.5" customHeight="1" x14ac:dyDescent="0.3">
      <c r="A157" s="298" t="s">
        <v>224</v>
      </c>
      <c r="B157" s="69" t="str">
        <f>VLOOKUP(A157,URS確認!$E:$F,2,FALSE)</f>
        <v xml:space="preserve">未齊件資料查詢                          </v>
      </c>
      <c r="C157" s="298">
        <v>2</v>
      </c>
      <c r="D157" s="74" t="s">
        <v>1636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8" t="s">
        <v>1479</v>
      </c>
      <c r="P157" s="71"/>
    </row>
    <row r="158" spans="1:16" x14ac:dyDescent="0.3">
      <c r="A158" s="298" t="s">
        <v>227</v>
      </c>
      <c r="B158" s="69" t="str">
        <f>VLOOKUP(A158,URS確認!$E:$F,2,FALSE)</f>
        <v xml:space="preserve">未齊案件管理             </v>
      </c>
      <c r="C158" s="298">
        <v>2</v>
      </c>
      <c r="D158" s="74" t="s">
        <v>1637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8" t="s">
        <v>1479</v>
      </c>
      <c r="P158" s="71"/>
    </row>
    <row r="159" spans="1:16" x14ac:dyDescent="0.3">
      <c r="A159" s="298" t="s">
        <v>227</v>
      </c>
      <c r="B159" s="69" t="str">
        <f>VLOOKUP(A159,URS確認!$E:$F,2,FALSE)</f>
        <v xml:space="preserve">未齊案件管理             </v>
      </c>
      <c r="C159" s="298">
        <v>3</v>
      </c>
      <c r="D159" s="74" t="s">
        <v>1638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8" t="s">
        <v>1479</v>
      </c>
      <c r="P159" s="71"/>
    </row>
    <row r="160" spans="1:16" x14ac:dyDescent="0.3">
      <c r="A160" s="298" t="s">
        <v>227</v>
      </c>
      <c r="B160" s="69" t="str">
        <f>VLOOKUP(A160,URS確認!$E:$F,2,FALSE)</f>
        <v xml:space="preserve">未齊案件管理             </v>
      </c>
      <c r="C160" s="298">
        <v>6</v>
      </c>
      <c r="D160" s="74" t="s">
        <v>1639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8" t="s">
        <v>1479</v>
      </c>
      <c r="P160" s="71"/>
    </row>
    <row r="161" spans="1:16" ht="49.5" customHeight="1" x14ac:dyDescent="0.3">
      <c r="A161" s="298" t="s">
        <v>227</v>
      </c>
      <c r="B161" s="69" t="str">
        <f>VLOOKUP(A161,URS確認!$E:$F,2,FALSE)</f>
        <v xml:space="preserve">未齊案件管理             </v>
      </c>
      <c r="C161" s="298">
        <v>7</v>
      </c>
      <c r="D161" s="74" t="s">
        <v>1640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122</v>
      </c>
      <c r="M161" s="298" t="s">
        <v>1495</v>
      </c>
      <c r="P161" s="71" t="s">
        <v>1591</v>
      </c>
    </row>
    <row r="162" spans="1:16" x14ac:dyDescent="0.3">
      <c r="A162" s="298" t="s">
        <v>210</v>
      </c>
      <c r="B162" s="69" t="str">
        <f>VLOOKUP(A162,URS確認!$E:$F,2,FALSE)</f>
        <v xml:space="preserve">保證人明細資料查詢                      </v>
      </c>
      <c r="C162" s="298">
        <v>1</v>
      </c>
      <c r="D162" s="74" t="s">
        <v>1641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8" t="s">
        <v>1479</v>
      </c>
      <c r="P162" s="71"/>
    </row>
    <row r="163" spans="1:16" x14ac:dyDescent="0.3">
      <c r="A163" s="298" t="s">
        <v>210</v>
      </c>
      <c r="B163" s="69" t="str">
        <f>VLOOKUP(A163,URS確認!$E:$F,2,FALSE)</f>
        <v xml:space="preserve">保證人明細資料查詢                      </v>
      </c>
      <c r="C163" s="298">
        <v>2</v>
      </c>
      <c r="D163" s="74" t="s">
        <v>1642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8" t="s">
        <v>1479</v>
      </c>
      <c r="P163" s="71"/>
    </row>
    <row r="164" spans="1:16" x14ac:dyDescent="0.3">
      <c r="A164" s="298" t="s">
        <v>210</v>
      </c>
      <c r="B164" s="69" t="str">
        <f>VLOOKUP(A164,URS確認!$E:$F,2,FALSE)</f>
        <v xml:space="preserve">保證人明細資料查詢                      </v>
      </c>
      <c r="C164" s="298">
        <v>3</v>
      </c>
      <c r="D164" s="74" t="s">
        <v>1643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8" t="s">
        <v>1479</v>
      </c>
      <c r="P164" s="71" t="s">
        <v>1487</v>
      </c>
    </row>
    <row r="165" spans="1:16" x14ac:dyDescent="0.3">
      <c r="A165" s="298" t="s">
        <v>214</v>
      </c>
      <c r="B165" s="69" t="str">
        <f>VLOOKUP(A165,URS確認!$E:$F,2,FALSE)</f>
        <v>保證人資料登錄</v>
      </c>
      <c r="C165" s="298">
        <v>1</v>
      </c>
      <c r="D165" s="74" t="s">
        <v>1644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8" t="s">
        <v>1479</v>
      </c>
      <c r="P165" s="71"/>
    </row>
    <row r="166" spans="1:16" x14ac:dyDescent="0.3">
      <c r="A166" s="298" t="s">
        <v>214</v>
      </c>
      <c r="B166" s="69" t="str">
        <f>VLOOKUP(A166,URS確認!$E:$F,2,FALSE)</f>
        <v>保證人資料登錄</v>
      </c>
      <c r="C166" s="298">
        <v>2</v>
      </c>
      <c r="D166" s="74" t="s">
        <v>1645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8" t="s">
        <v>1479</v>
      </c>
      <c r="P166" s="71"/>
    </row>
    <row r="167" spans="1:16" ht="33" customHeight="1" x14ac:dyDescent="0.3">
      <c r="A167" s="298" t="s">
        <v>214</v>
      </c>
      <c r="B167" s="69" t="str">
        <f>VLOOKUP(A167,URS確認!$E:$F,2,FALSE)</f>
        <v>保證人資料登錄</v>
      </c>
      <c r="C167" s="298">
        <v>3</v>
      </c>
      <c r="D167" s="74" t="s">
        <v>1646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8" t="s">
        <v>1479</v>
      </c>
      <c r="P167" s="71"/>
    </row>
    <row r="168" spans="1:16" ht="49.5" customHeight="1" x14ac:dyDescent="0.3">
      <c r="A168" s="298" t="s">
        <v>214</v>
      </c>
      <c r="B168" s="69" t="str">
        <f>VLOOKUP(A168,URS確認!$E:$F,2,FALSE)</f>
        <v>保證人資料登錄</v>
      </c>
      <c r="C168" s="298">
        <v>4</v>
      </c>
      <c r="D168" s="74" t="s">
        <v>1647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122</v>
      </c>
      <c r="M168" s="298" t="s">
        <v>1495</v>
      </c>
      <c r="P168" s="71" t="s">
        <v>1598</v>
      </c>
    </row>
    <row r="169" spans="1:16" ht="66" customHeight="1" x14ac:dyDescent="0.3">
      <c r="A169" s="298" t="s">
        <v>214</v>
      </c>
      <c r="B169" s="69" t="str">
        <f>VLOOKUP(A169,URS確認!$E:$F,2,FALSE)</f>
        <v>保證人資料登錄</v>
      </c>
      <c r="C169" s="298">
        <v>5</v>
      </c>
      <c r="D169" s="74" t="s">
        <v>1648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122</v>
      </c>
      <c r="M169" s="298" t="s">
        <v>1495</v>
      </c>
      <c r="P169" s="71" t="s">
        <v>1591</v>
      </c>
    </row>
    <row r="170" spans="1:16" ht="33" customHeight="1" x14ac:dyDescent="0.3">
      <c r="A170" s="298" t="s">
        <v>214</v>
      </c>
      <c r="B170" s="69" t="str">
        <f>VLOOKUP(A170,URS確認!$E:$F,2,FALSE)</f>
        <v>保證人資料登錄</v>
      </c>
      <c r="C170" s="298">
        <v>6</v>
      </c>
      <c r="D170" s="74" t="s">
        <v>1649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8" t="s">
        <v>1495</v>
      </c>
      <c r="P170" s="71" t="s">
        <v>1591</v>
      </c>
    </row>
    <row r="171" spans="1:16" x14ac:dyDescent="0.3">
      <c r="A171" s="298" t="s">
        <v>216</v>
      </c>
      <c r="B171" s="69" t="str">
        <f>VLOOKUP(A171,URS確認!$E:$F,2,FALSE)</f>
        <v xml:space="preserve">保證人保證資料查詢                      </v>
      </c>
      <c r="C171" s="298">
        <v>1</v>
      </c>
      <c r="D171" s="74" t="s">
        <v>1650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8" t="s">
        <v>1479</v>
      </c>
      <c r="P171" s="71"/>
    </row>
    <row r="172" spans="1:16" x14ac:dyDescent="0.3">
      <c r="A172" s="298" t="s">
        <v>216</v>
      </c>
      <c r="B172" s="69" t="str">
        <f>VLOOKUP(A172,URS確認!$E:$F,2,FALSE)</f>
        <v xml:space="preserve">保證人保證資料查詢                      </v>
      </c>
      <c r="C172" s="298">
        <v>2</v>
      </c>
      <c r="D172" s="74" t="s">
        <v>1651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8" t="s">
        <v>1479</v>
      </c>
      <c r="P172" s="71"/>
    </row>
    <row r="173" spans="1:16" ht="115.5" customHeight="1" x14ac:dyDescent="0.3">
      <c r="A173" s="298" t="s">
        <v>191</v>
      </c>
      <c r="B173" s="69" t="str">
        <f>VLOOKUP(A173,URS確認!$E:$F,2,FALSE)</f>
        <v>案件申請登錄</v>
      </c>
      <c r="C173" s="298">
        <v>1</v>
      </c>
      <c r="D173" s="74" t="s">
        <v>1652</v>
      </c>
      <c r="E173" s="71">
        <v>44431</v>
      </c>
      <c r="F173" s="71">
        <v>44469</v>
      </c>
      <c r="G173" s="71">
        <v>44469</v>
      </c>
      <c r="H173" s="71">
        <v>44469</v>
      </c>
      <c r="I173" s="298" t="s">
        <v>180</v>
      </c>
      <c r="M173" s="298" t="s">
        <v>1495</v>
      </c>
      <c r="P173" s="298" t="s">
        <v>1487</v>
      </c>
    </row>
    <row r="174" spans="1:16" ht="99" customHeight="1" x14ac:dyDescent="0.3">
      <c r="A174" s="298" t="s">
        <v>191</v>
      </c>
      <c r="B174" s="74" t="str">
        <f>VLOOKUP(A174,URS確認!$E:$F,2,FALSE)</f>
        <v>案件申請登錄</v>
      </c>
      <c r="C174" s="298">
        <v>2</v>
      </c>
      <c r="D174" s="74" t="s">
        <v>1653</v>
      </c>
      <c r="E174" s="71">
        <v>44431</v>
      </c>
      <c r="F174" s="298"/>
      <c r="G174" s="298"/>
      <c r="I174" s="125" t="s">
        <v>1654</v>
      </c>
      <c r="O174" s="298" t="s">
        <v>1479</v>
      </c>
    </row>
    <row r="175" spans="1:16" ht="49.5" customHeight="1" x14ac:dyDescent="0.3">
      <c r="A175" s="298" t="s">
        <v>191</v>
      </c>
      <c r="B175" s="74" t="str">
        <f>VLOOKUP(A175,URS確認!$E:$F,2,FALSE)</f>
        <v>案件申請登錄</v>
      </c>
      <c r="C175" s="298">
        <v>3</v>
      </c>
      <c r="D175" s="74" t="s">
        <v>1655</v>
      </c>
      <c r="E175" s="71">
        <v>44431</v>
      </c>
      <c r="F175" s="298"/>
      <c r="G175" s="298"/>
      <c r="I175" s="125" t="s">
        <v>1654</v>
      </c>
      <c r="O175" s="298" t="s">
        <v>1479</v>
      </c>
    </row>
    <row r="176" spans="1:16" ht="33" customHeight="1" x14ac:dyDescent="0.3">
      <c r="A176" s="298" t="s">
        <v>244</v>
      </c>
      <c r="B176" s="69" t="str">
        <f>VLOOKUP(A176,URS確認!$E:$F,2,FALSE)</f>
        <v>交易關係人維護</v>
      </c>
      <c r="C176" s="298">
        <v>1</v>
      </c>
      <c r="D176" s="74" t="s">
        <v>1656</v>
      </c>
      <c r="E176" s="71">
        <v>44431</v>
      </c>
      <c r="F176" s="71">
        <v>44469</v>
      </c>
      <c r="G176" s="71">
        <v>44456</v>
      </c>
      <c r="H176" s="71">
        <v>44456</v>
      </c>
      <c r="I176" s="298" t="s">
        <v>122</v>
      </c>
      <c r="M176" s="298" t="s">
        <v>1495</v>
      </c>
    </row>
    <row r="177" spans="1:13" ht="49.5" customHeight="1" x14ac:dyDescent="0.3">
      <c r="B177" s="74" t="s">
        <v>1657</v>
      </c>
      <c r="C177" s="298">
        <v>1</v>
      </c>
      <c r="D177" s="74" t="s">
        <v>1658</v>
      </c>
      <c r="E177" s="71">
        <v>44432</v>
      </c>
      <c r="F177" s="71">
        <v>44620</v>
      </c>
      <c r="G177" s="298"/>
      <c r="I177" s="298" t="s">
        <v>122</v>
      </c>
      <c r="M177" s="298" t="s">
        <v>1495</v>
      </c>
    </row>
    <row r="178" spans="1:13" ht="49.5" customHeight="1" x14ac:dyDescent="0.3">
      <c r="B178" s="74" t="s">
        <v>1657</v>
      </c>
      <c r="C178" s="298">
        <v>2</v>
      </c>
      <c r="D178" s="74" t="s">
        <v>1659</v>
      </c>
      <c r="E178" s="71">
        <v>44432</v>
      </c>
      <c r="F178" s="71">
        <v>44620</v>
      </c>
      <c r="G178" s="298"/>
      <c r="I178" s="298" t="s">
        <v>122</v>
      </c>
      <c r="M178" s="298" t="s">
        <v>1495</v>
      </c>
    </row>
    <row r="179" spans="1:13" ht="49.5" customHeight="1" x14ac:dyDescent="0.3">
      <c r="B179" s="74" t="s">
        <v>1657</v>
      </c>
      <c r="C179" s="298">
        <v>3</v>
      </c>
      <c r="D179" s="74" t="s">
        <v>1660</v>
      </c>
      <c r="E179" s="71">
        <v>44432</v>
      </c>
      <c r="F179" s="71">
        <v>44435</v>
      </c>
      <c r="G179" s="71">
        <v>44435</v>
      </c>
      <c r="H179" s="71">
        <v>44445</v>
      </c>
      <c r="I179" s="298" t="s">
        <v>122</v>
      </c>
      <c r="L179" s="298" t="s">
        <v>1479</v>
      </c>
    </row>
    <row r="180" spans="1:13" ht="49.5" customHeight="1" x14ac:dyDescent="0.3">
      <c r="B180" s="74" t="s">
        <v>1657</v>
      </c>
      <c r="C180" s="298">
        <v>4</v>
      </c>
      <c r="D180" s="74" t="s">
        <v>1661</v>
      </c>
      <c r="E180" s="71">
        <v>44432</v>
      </c>
      <c r="F180" s="71">
        <v>44469</v>
      </c>
      <c r="G180" s="71">
        <v>44445</v>
      </c>
      <c r="H180" s="71">
        <v>44445</v>
      </c>
      <c r="I180" s="298" t="s">
        <v>122</v>
      </c>
      <c r="L180" s="298" t="s">
        <v>1479</v>
      </c>
    </row>
    <row r="181" spans="1:13" ht="49.5" customHeight="1" x14ac:dyDescent="0.3">
      <c r="B181" s="74" t="s">
        <v>1657</v>
      </c>
      <c r="C181" s="298">
        <v>5</v>
      </c>
      <c r="D181" s="74" t="s">
        <v>1662</v>
      </c>
      <c r="E181" s="71">
        <v>44432</v>
      </c>
      <c r="F181" s="71">
        <v>44469</v>
      </c>
      <c r="G181" s="71">
        <v>44441</v>
      </c>
      <c r="H181" s="71">
        <v>44445</v>
      </c>
      <c r="I181" s="298" t="s">
        <v>189</v>
      </c>
      <c r="L181" s="298" t="s">
        <v>1479</v>
      </c>
    </row>
    <row r="182" spans="1:13" x14ac:dyDescent="0.3">
      <c r="A182" s="298" t="s">
        <v>247</v>
      </c>
      <c r="B182" s="69" t="str">
        <f>VLOOKUP(A182,URS確認!$E:$F,2,FALSE)</f>
        <v xml:space="preserve">擔保品明細資料查詢                      </v>
      </c>
      <c r="C182" s="298">
        <v>1</v>
      </c>
      <c r="D182" s="69" t="s">
        <v>1663</v>
      </c>
      <c r="E182" s="71">
        <v>44432</v>
      </c>
      <c r="F182" s="71">
        <v>44435</v>
      </c>
      <c r="G182" s="71">
        <v>44434</v>
      </c>
      <c r="H182" s="71">
        <v>44434</v>
      </c>
      <c r="I182" s="298" t="s">
        <v>189</v>
      </c>
      <c r="L182" s="298" t="s">
        <v>1479</v>
      </c>
    </row>
    <row r="183" spans="1:13" ht="74" customHeight="1" x14ac:dyDescent="0.3">
      <c r="A183" s="298" t="s">
        <v>249</v>
      </c>
      <c r="B183" s="69" t="str">
        <f>VLOOKUP(A183,URS確認!$E:$F,2,FALSE)</f>
        <v>不動產擔保品資料登錄</v>
      </c>
      <c r="C183" s="298">
        <v>1</v>
      </c>
      <c r="D183" s="74" t="s">
        <v>1664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189</v>
      </c>
      <c r="M183" s="298" t="s">
        <v>1495</v>
      </c>
    </row>
    <row r="184" spans="1:13" x14ac:dyDescent="0.3">
      <c r="A184" s="298" t="s">
        <v>249</v>
      </c>
      <c r="B184" s="69" t="str">
        <f>VLOOKUP(A184,URS確認!$E:$F,2,FALSE)</f>
        <v>不動產擔保品資料登錄</v>
      </c>
      <c r="C184" s="298">
        <v>3</v>
      </c>
      <c r="D184" s="74" t="s">
        <v>1665</v>
      </c>
      <c r="E184" s="71">
        <v>44432</v>
      </c>
      <c r="F184" s="71">
        <v>44435</v>
      </c>
      <c r="G184" s="71">
        <v>44434</v>
      </c>
      <c r="H184" s="71">
        <v>44445</v>
      </c>
      <c r="I184" s="298" t="s">
        <v>122</v>
      </c>
      <c r="L184" s="298" t="s">
        <v>1479</v>
      </c>
    </row>
    <row r="185" spans="1:13" ht="33" customHeight="1" x14ac:dyDescent="0.3">
      <c r="A185" s="298" t="s">
        <v>249</v>
      </c>
      <c r="B185" s="69" t="str">
        <f>VLOOKUP(A185,URS確認!$E:$F,2,FALSE)</f>
        <v>不動產擔保品資料登錄</v>
      </c>
      <c r="C185" s="298">
        <v>4</v>
      </c>
      <c r="D185" s="74" t="s">
        <v>1666</v>
      </c>
      <c r="E185" s="71">
        <v>44432</v>
      </c>
      <c r="F185" s="71">
        <v>44435</v>
      </c>
      <c r="G185" s="71">
        <v>44434</v>
      </c>
      <c r="H185" s="71">
        <v>44445</v>
      </c>
      <c r="I185" s="298" t="s">
        <v>122</v>
      </c>
      <c r="L185" s="298" t="s">
        <v>1479</v>
      </c>
    </row>
    <row r="186" spans="1:13" x14ac:dyDescent="0.3">
      <c r="A186" s="298" t="s">
        <v>257</v>
      </c>
      <c r="B186" s="69" t="str">
        <f>VLOOKUP(A186,URS確認!$E:$F,2,FALSE)</f>
        <v>不動產建物擔保品資料登錄</v>
      </c>
      <c r="C186" s="298">
        <v>1</v>
      </c>
      <c r="D186" s="74" t="s">
        <v>1667</v>
      </c>
      <c r="E186" s="71">
        <v>44432</v>
      </c>
      <c r="F186" s="71">
        <v>44442</v>
      </c>
      <c r="G186" s="71">
        <v>44441</v>
      </c>
      <c r="H186" s="71">
        <v>44445</v>
      </c>
      <c r="I186" s="298" t="s">
        <v>122</v>
      </c>
      <c r="L186" s="298" t="s">
        <v>1479</v>
      </c>
    </row>
    <row r="187" spans="1:13" x14ac:dyDescent="0.3">
      <c r="A187" s="298" t="s">
        <v>257</v>
      </c>
      <c r="B187" s="69" t="str">
        <f>VLOOKUP(A187,URS確認!$E:$F,2,FALSE)</f>
        <v>不動產建物擔保品資料登錄</v>
      </c>
      <c r="C187" s="298">
        <v>2</v>
      </c>
      <c r="D187" s="74" t="s">
        <v>1668</v>
      </c>
      <c r="E187" s="71">
        <v>44432</v>
      </c>
      <c r="F187" s="71">
        <v>44442</v>
      </c>
      <c r="G187" s="71">
        <v>44441</v>
      </c>
      <c r="H187" s="71">
        <v>44445</v>
      </c>
      <c r="I187" s="298" t="s">
        <v>122</v>
      </c>
      <c r="L187" s="298" t="s">
        <v>1479</v>
      </c>
    </row>
    <row r="188" spans="1:13" ht="33" customHeight="1" x14ac:dyDescent="0.3">
      <c r="A188" s="298" t="s">
        <v>254</v>
      </c>
      <c r="B188" s="69" t="str">
        <f>VLOOKUP(A188,URS確認!$E:$F,2,FALSE)</f>
        <v xml:space="preserve">不動產擔保品資料查詢                    </v>
      </c>
      <c r="C188" s="298">
        <v>1</v>
      </c>
      <c r="D188" s="74" t="s">
        <v>1669</v>
      </c>
      <c r="E188" s="71">
        <v>44432</v>
      </c>
      <c r="F188" s="71">
        <v>44435</v>
      </c>
      <c r="G188" s="71">
        <v>44434</v>
      </c>
      <c r="H188" s="71">
        <v>44445</v>
      </c>
      <c r="I188" s="298" t="s">
        <v>122</v>
      </c>
      <c r="L188" s="298" t="s">
        <v>1479</v>
      </c>
    </row>
    <row r="189" spans="1:13" x14ac:dyDescent="0.3">
      <c r="A189" s="298" t="s">
        <v>1415</v>
      </c>
      <c r="B189" s="69" t="e">
        <f>VLOOKUP(A189,URS確認!$E:$F,2,FALSE)</f>
        <v>#N/A</v>
      </c>
      <c r="C189" s="298">
        <v>1</v>
      </c>
      <c r="D189" s="74" t="s">
        <v>1670</v>
      </c>
      <c r="E189" s="71">
        <v>44432</v>
      </c>
      <c r="F189" s="71">
        <v>44435</v>
      </c>
      <c r="G189" s="71">
        <v>44434</v>
      </c>
      <c r="H189" s="71">
        <v>44445</v>
      </c>
      <c r="I189" s="298" t="s">
        <v>122</v>
      </c>
      <c r="L189" s="298" t="s">
        <v>1479</v>
      </c>
    </row>
    <row r="190" spans="1:13" x14ac:dyDescent="0.3">
      <c r="A190" s="298" t="s">
        <v>1418</v>
      </c>
      <c r="B190" s="69" t="e">
        <f>VLOOKUP(A190,URS確認!$E:$F,2,FALSE)</f>
        <v>#N/A</v>
      </c>
      <c r="C190" s="298">
        <v>1</v>
      </c>
      <c r="D190" s="74" t="s">
        <v>1671</v>
      </c>
      <c r="E190" s="71">
        <v>44432</v>
      </c>
      <c r="F190" s="71">
        <v>44435</v>
      </c>
      <c r="G190" s="71">
        <v>44434</v>
      </c>
      <c r="H190" s="71">
        <v>44445</v>
      </c>
      <c r="I190" s="298" t="s">
        <v>122</v>
      </c>
      <c r="L190" s="298" t="s">
        <v>1479</v>
      </c>
    </row>
    <row r="191" spans="1:13" ht="33" customHeight="1" x14ac:dyDescent="0.3">
      <c r="A191" s="298" t="s">
        <v>244</v>
      </c>
      <c r="B191" s="69" t="str">
        <f>VLOOKUP(A191,URS確認!$E:$F,2,FALSE)</f>
        <v>交易關係人維護</v>
      </c>
      <c r="C191" s="298">
        <v>1</v>
      </c>
      <c r="D191" s="74" t="s">
        <v>1672</v>
      </c>
      <c r="E191" s="71">
        <v>44432</v>
      </c>
      <c r="F191" s="71">
        <v>44442</v>
      </c>
      <c r="G191" s="71">
        <v>44440</v>
      </c>
      <c r="H191" s="71">
        <v>44461</v>
      </c>
      <c r="I191" s="298" t="s">
        <v>122</v>
      </c>
      <c r="M191" s="298" t="s">
        <v>1495</v>
      </c>
    </row>
    <row r="192" spans="1:13" ht="15.65" customHeight="1" x14ac:dyDescent="0.3">
      <c r="A192" s="298" t="s">
        <v>274</v>
      </c>
      <c r="B192" s="69" t="str">
        <f>VLOOKUP(A192,URS確認!$E:$F,2,FALSE)</f>
        <v>動產擔保品資料登錄</v>
      </c>
      <c r="C192" s="298">
        <v>1</v>
      </c>
      <c r="D192" s="74" t="s">
        <v>1673</v>
      </c>
      <c r="E192" s="71">
        <v>44433</v>
      </c>
      <c r="F192" s="71">
        <v>44435</v>
      </c>
      <c r="G192" s="71">
        <v>44435</v>
      </c>
      <c r="H192" s="71">
        <v>44445</v>
      </c>
      <c r="I192" s="298" t="s">
        <v>122</v>
      </c>
      <c r="L192" s="298" t="s">
        <v>1479</v>
      </c>
    </row>
    <row r="193" spans="1:13" x14ac:dyDescent="0.3">
      <c r="A193" s="298" t="s">
        <v>274</v>
      </c>
      <c r="B193" s="69" t="str">
        <f>VLOOKUP(A193,URS確認!$E:$F,2,FALSE)</f>
        <v>動產擔保品資料登錄</v>
      </c>
      <c r="C193" s="298">
        <v>2</v>
      </c>
      <c r="D193" s="74" t="s">
        <v>1674</v>
      </c>
      <c r="E193" s="71">
        <v>44433</v>
      </c>
      <c r="F193" s="71">
        <v>44469</v>
      </c>
      <c r="G193" s="71">
        <v>44445</v>
      </c>
      <c r="H193" s="71">
        <v>44445</v>
      </c>
      <c r="I193" s="298" t="s">
        <v>122</v>
      </c>
      <c r="L193" s="298" t="s">
        <v>1479</v>
      </c>
    </row>
    <row r="194" spans="1:13" ht="33" customHeight="1" x14ac:dyDescent="0.3">
      <c r="A194" s="298" t="s">
        <v>274</v>
      </c>
      <c r="B194" s="69" t="str">
        <f>VLOOKUP(A194,URS確認!$E:$F,2,FALSE)</f>
        <v>動產擔保品資料登錄</v>
      </c>
      <c r="C194" s="298">
        <v>3</v>
      </c>
      <c r="D194" s="74" t="s">
        <v>1675</v>
      </c>
      <c r="E194" s="71">
        <v>44433</v>
      </c>
      <c r="F194" s="71">
        <v>44469</v>
      </c>
      <c r="G194" s="71">
        <v>44441</v>
      </c>
      <c r="H194" s="71">
        <v>44445</v>
      </c>
      <c r="I194" s="298" t="s">
        <v>122</v>
      </c>
      <c r="L194" s="298" t="s">
        <v>1479</v>
      </c>
    </row>
    <row r="195" spans="1:13" ht="66" customHeight="1" x14ac:dyDescent="0.3">
      <c r="A195" s="298" t="s">
        <v>1423</v>
      </c>
      <c r="B195" s="69" t="e">
        <f>VLOOKUP(A195,URS確認!$E:$F,2,FALSE)</f>
        <v>#N/A</v>
      </c>
      <c r="C195" s="298">
        <v>1</v>
      </c>
      <c r="D195" s="74" t="s">
        <v>1676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189</v>
      </c>
      <c r="L195" s="298" t="s">
        <v>1547</v>
      </c>
      <c r="M195" s="298" t="s">
        <v>1495</v>
      </c>
    </row>
    <row r="196" spans="1:13" ht="66" customHeight="1" x14ac:dyDescent="0.3">
      <c r="A196" s="298" t="s">
        <v>1426</v>
      </c>
      <c r="B196" s="69" t="e">
        <f>VLOOKUP(A196,URS確認!$E:$F,2,FALSE)</f>
        <v>#N/A</v>
      </c>
      <c r="C196" s="298">
        <v>1</v>
      </c>
      <c r="D196" s="74" t="s">
        <v>1677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189</v>
      </c>
      <c r="M196" s="298" t="s">
        <v>1495</v>
      </c>
    </row>
    <row r="197" spans="1:13" ht="66" customHeight="1" x14ac:dyDescent="0.3">
      <c r="A197" s="298" t="s">
        <v>1428</v>
      </c>
      <c r="B197" s="69" t="e">
        <f>VLOOKUP(A197,URS確認!$E:$F,2,FALSE)</f>
        <v>#N/A</v>
      </c>
      <c r="C197" s="298">
        <v>1</v>
      </c>
      <c r="D197" s="74" t="s">
        <v>1677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189</v>
      </c>
      <c r="M197" s="298" t="s">
        <v>1495</v>
      </c>
    </row>
    <row r="198" spans="1:13" ht="66" customHeight="1" x14ac:dyDescent="0.3">
      <c r="A198" s="298" t="s">
        <v>1420</v>
      </c>
      <c r="B198" s="69" t="e">
        <f>VLOOKUP(A198,URS確認!$E:$F,2,FALSE)</f>
        <v>#N/A</v>
      </c>
      <c r="C198" s="298">
        <v>1</v>
      </c>
      <c r="D198" s="74" t="s">
        <v>1678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189</v>
      </c>
      <c r="M198" s="298" t="s">
        <v>1495</v>
      </c>
    </row>
    <row r="199" spans="1:13" x14ac:dyDescent="0.3">
      <c r="A199" s="298" t="s">
        <v>247</v>
      </c>
      <c r="B199" s="69" t="str">
        <f>VLOOKUP(A199,URS確認!$E:$F,2,FALSE)</f>
        <v xml:space="preserve">擔保品明細資料查詢                      </v>
      </c>
      <c r="C199" s="298">
        <v>1</v>
      </c>
      <c r="D199" s="74" t="s">
        <v>1679</v>
      </c>
      <c r="E199" s="71">
        <v>44433</v>
      </c>
      <c r="F199" s="71">
        <v>44435</v>
      </c>
      <c r="G199" s="71">
        <v>44435</v>
      </c>
      <c r="H199" s="71">
        <v>44435</v>
      </c>
      <c r="I199" s="298" t="s">
        <v>189</v>
      </c>
      <c r="L199" s="298" t="s">
        <v>1479</v>
      </c>
    </row>
    <row r="200" spans="1:13" x14ac:dyDescent="0.3">
      <c r="A200" s="298" t="s">
        <v>247</v>
      </c>
      <c r="B200" s="69" t="str">
        <f>VLOOKUP(A200,URS確認!$E:$F,2,FALSE)</f>
        <v xml:space="preserve">擔保品明細資料查詢                      </v>
      </c>
      <c r="C200" s="298">
        <v>2</v>
      </c>
      <c r="D200" s="74" t="s">
        <v>1680</v>
      </c>
      <c r="E200" s="71">
        <v>44433</v>
      </c>
      <c r="F200" s="71">
        <v>44435</v>
      </c>
      <c r="G200" s="71">
        <v>44435</v>
      </c>
      <c r="H200" s="71">
        <v>44442</v>
      </c>
      <c r="I200" s="298" t="s">
        <v>189</v>
      </c>
      <c r="L200" s="298" t="s">
        <v>1479</v>
      </c>
    </row>
    <row r="201" spans="1:13" x14ac:dyDescent="0.3">
      <c r="A201" s="298" t="s">
        <v>247</v>
      </c>
      <c r="B201" s="69" t="str">
        <f>VLOOKUP(A201,URS確認!$E:$F,2,FALSE)</f>
        <v xml:space="preserve">擔保品明細資料查詢                      </v>
      </c>
      <c r="C201" s="298">
        <v>3</v>
      </c>
      <c r="D201" s="74" t="s">
        <v>1681</v>
      </c>
      <c r="E201" s="71">
        <v>44433</v>
      </c>
      <c r="F201" s="71">
        <v>44435</v>
      </c>
      <c r="G201" s="71">
        <v>44435</v>
      </c>
      <c r="H201" s="71">
        <v>44435</v>
      </c>
      <c r="I201" s="298" t="s">
        <v>189</v>
      </c>
      <c r="L201" s="298" t="s">
        <v>1479</v>
      </c>
    </row>
    <row r="202" spans="1:13" x14ac:dyDescent="0.3">
      <c r="A202" s="298" t="s">
        <v>247</v>
      </c>
      <c r="B202" s="69" t="str">
        <f>VLOOKUP(A202,URS確認!$E:$F,2,FALSE)</f>
        <v xml:space="preserve">擔保品明細資料查詢                      </v>
      </c>
      <c r="C202" s="298">
        <v>4</v>
      </c>
      <c r="D202" s="74" t="s">
        <v>1682</v>
      </c>
      <c r="E202" s="71">
        <v>44433</v>
      </c>
      <c r="F202" s="71">
        <v>44435</v>
      </c>
      <c r="G202" s="71">
        <v>44435</v>
      </c>
      <c r="H202" s="71">
        <v>44442</v>
      </c>
      <c r="I202" s="298" t="s">
        <v>189</v>
      </c>
      <c r="L202" s="298" t="s">
        <v>1479</v>
      </c>
    </row>
    <row r="203" spans="1:13" ht="79.25" customHeight="1" x14ac:dyDescent="0.3">
      <c r="A203" s="298" t="s">
        <v>247</v>
      </c>
      <c r="B203" s="69" t="str">
        <f>VLOOKUP(A203,URS確認!$E:$F,2,FALSE)</f>
        <v xml:space="preserve">擔保品明細資料查詢                      </v>
      </c>
      <c r="C203" s="298">
        <v>5</v>
      </c>
      <c r="D203" s="74" t="s">
        <v>1683</v>
      </c>
      <c r="E203" s="71">
        <v>44433</v>
      </c>
      <c r="F203" s="71">
        <v>44435</v>
      </c>
      <c r="G203" s="71">
        <v>44435</v>
      </c>
      <c r="H203" s="71">
        <v>44442</v>
      </c>
      <c r="I203" s="298" t="s">
        <v>189</v>
      </c>
      <c r="L203" s="298" t="s">
        <v>1479</v>
      </c>
    </row>
    <row r="204" spans="1:13" ht="37.25" customHeight="1" x14ac:dyDescent="0.3">
      <c r="B204" s="74" t="s">
        <v>1684</v>
      </c>
      <c r="C204" s="298">
        <v>1</v>
      </c>
      <c r="D204" s="74" t="s">
        <v>1685</v>
      </c>
      <c r="E204" s="71">
        <v>44433</v>
      </c>
      <c r="F204" s="71">
        <v>44435</v>
      </c>
      <c r="G204" s="71">
        <v>44435</v>
      </c>
      <c r="H204" s="71">
        <v>44435</v>
      </c>
      <c r="I204" s="298" t="s">
        <v>122</v>
      </c>
      <c r="L204" s="298" t="s">
        <v>1479</v>
      </c>
    </row>
    <row r="205" spans="1:13" x14ac:dyDescent="0.3">
      <c r="A205" s="298" t="s">
        <v>257</v>
      </c>
      <c r="B205" s="69" t="str">
        <f>VLOOKUP(A205,URS確認!$E:$F,2,FALSE)</f>
        <v>不動產建物擔保品資料登錄</v>
      </c>
      <c r="C205" s="298">
        <v>1</v>
      </c>
      <c r="D205" s="74" t="s">
        <v>1686</v>
      </c>
      <c r="E205" s="71">
        <v>44433</v>
      </c>
      <c r="F205" s="71">
        <v>44461</v>
      </c>
      <c r="G205" s="71">
        <v>44462</v>
      </c>
      <c r="H205" s="71">
        <v>44462</v>
      </c>
      <c r="I205" s="298" t="s">
        <v>122</v>
      </c>
      <c r="M205" s="298" t="s">
        <v>1495</v>
      </c>
    </row>
    <row r="206" spans="1:13" x14ac:dyDescent="0.3">
      <c r="A206" s="298" t="s">
        <v>278</v>
      </c>
      <c r="B206" s="69" t="str">
        <f>VLOOKUP(A206,URS確認!$E:$F,2,FALSE)</f>
        <v>股票擔保品資料登錄</v>
      </c>
      <c r="C206" s="298">
        <v>1</v>
      </c>
      <c r="D206" s="74" t="s">
        <v>1687</v>
      </c>
      <c r="E206" s="71">
        <v>44434</v>
      </c>
      <c r="F206" s="71">
        <v>44435</v>
      </c>
      <c r="G206" s="71">
        <v>44435</v>
      </c>
      <c r="H206" s="71">
        <v>44435</v>
      </c>
      <c r="I206" s="298" t="s">
        <v>122</v>
      </c>
      <c r="L206" s="298" t="s">
        <v>1479</v>
      </c>
    </row>
    <row r="207" spans="1:13" x14ac:dyDescent="0.3">
      <c r="A207" s="298" t="s">
        <v>278</v>
      </c>
      <c r="B207" s="69" t="str">
        <f>VLOOKUP(A207,URS確認!$E:$F,2,FALSE)</f>
        <v>股票擔保品資料登錄</v>
      </c>
      <c r="C207" s="298">
        <v>2</v>
      </c>
      <c r="D207" s="74" t="s">
        <v>1688</v>
      </c>
      <c r="E207" s="71">
        <v>44434</v>
      </c>
      <c r="F207" s="71">
        <v>44435</v>
      </c>
      <c r="G207" s="71">
        <v>44435</v>
      </c>
      <c r="H207" s="71">
        <v>44445</v>
      </c>
      <c r="I207" s="298" t="s">
        <v>122</v>
      </c>
      <c r="L207" s="298" t="s">
        <v>1479</v>
      </c>
    </row>
    <row r="208" spans="1:13" ht="49.5" customHeight="1" x14ac:dyDescent="0.3">
      <c r="A208" s="298" t="s">
        <v>278</v>
      </c>
      <c r="B208" s="69" t="str">
        <f>VLOOKUP(A208,URS確認!$E:$F,2,FALSE)</f>
        <v>股票擔保品資料登錄</v>
      </c>
      <c r="C208" s="298">
        <v>3</v>
      </c>
      <c r="D208" s="74" t="s">
        <v>1689</v>
      </c>
      <c r="E208" s="71">
        <v>44434</v>
      </c>
      <c r="F208" s="71">
        <v>44435</v>
      </c>
      <c r="G208" s="71">
        <v>44435</v>
      </c>
      <c r="H208" s="71">
        <v>44435</v>
      </c>
      <c r="I208" s="298" t="s">
        <v>122</v>
      </c>
      <c r="J208" s="298" t="s">
        <v>1479</v>
      </c>
    </row>
    <row r="209" spans="1:13" ht="66" customHeight="1" x14ac:dyDescent="0.3">
      <c r="A209" s="298" t="s">
        <v>278</v>
      </c>
      <c r="B209" s="69" t="str">
        <f>VLOOKUP(A209,URS確認!$E:$F,2,FALSE)</f>
        <v>股票擔保品資料登錄</v>
      </c>
      <c r="C209" s="298">
        <v>4</v>
      </c>
      <c r="D209" s="74" t="s">
        <v>1690</v>
      </c>
      <c r="E209" s="71">
        <v>44434</v>
      </c>
      <c r="F209" s="71">
        <v>44469</v>
      </c>
      <c r="G209" s="71">
        <v>44469</v>
      </c>
      <c r="H209" s="71">
        <v>44511</v>
      </c>
      <c r="I209" s="298" t="s">
        <v>122</v>
      </c>
      <c r="M209" s="298" t="s">
        <v>1495</v>
      </c>
    </row>
    <row r="210" spans="1:13" ht="33" customHeight="1" x14ac:dyDescent="0.3">
      <c r="A210" s="298" t="s">
        <v>278</v>
      </c>
      <c r="B210" s="69" t="str">
        <f>VLOOKUP(A210,URS確認!$E:$F,2,FALSE)</f>
        <v>股票擔保品資料登錄</v>
      </c>
      <c r="C210" s="298">
        <v>5</v>
      </c>
      <c r="D210" s="74" t="s">
        <v>1691</v>
      </c>
      <c r="E210" s="71">
        <v>44434</v>
      </c>
      <c r="F210" s="71">
        <v>44438</v>
      </c>
      <c r="G210" s="71">
        <v>44438</v>
      </c>
      <c r="H210" s="71">
        <v>44438</v>
      </c>
      <c r="I210" s="298" t="s">
        <v>122</v>
      </c>
      <c r="L210" s="298" t="s">
        <v>1479</v>
      </c>
    </row>
    <row r="211" spans="1:13" ht="33" customHeight="1" x14ac:dyDescent="0.3">
      <c r="A211" s="298" t="s">
        <v>281</v>
      </c>
      <c r="B211" s="69" t="str">
        <f>VLOOKUP(A211,URS確認!$E:$F,2,FALSE)</f>
        <v xml:space="preserve">股票擔保品資料查詢                      </v>
      </c>
      <c r="C211" s="298">
        <v>1</v>
      </c>
      <c r="D211" s="74" t="s">
        <v>1692</v>
      </c>
      <c r="E211" s="71">
        <v>44434</v>
      </c>
      <c r="F211" s="71">
        <v>44442</v>
      </c>
      <c r="G211" s="71">
        <v>44441</v>
      </c>
      <c r="H211" s="71">
        <v>44441</v>
      </c>
      <c r="I211" s="298" t="s">
        <v>189</v>
      </c>
      <c r="L211" s="298" t="s">
        <v>1479</v>
      </c>
    </row>
    <row r="212" spans="1:13" x14ac:dyDescent="0.3">
      <c r="A212" s="298" t="s">
        <v>283</v>
      </c>
      <c r="B212" s="69" t="str">
        <f>VLOOKUP(A212,URS確認!$E:$F,2,FALSE)</f>
        <v>其他擔保品資料登錄</v>
      </c>
      <c r="C212" s="298">
        <v>1</v>
      </c>
      <c r="D212" s="74" t="s">
        <v>1693</v>
      </c>
      <c r="E212" s="71">
        <v>44434</v>
      </c>
      <c r="F212" s="71">
        <v>44434</v>
      </c>
      <c r="G212" s="71">
        <v>44434</v>
      </c>
      <c r="H212" s="71">
        <v>44445</v>
      </c>
      <c r="I212" s="298" t="s">
        <v>122</v>
      </c>
      <c r="L212" s="298" t="s">
        <v>1479</v>
      </c>
    </row>
    <row r="213" spans="1:13" ht="33" customHeight="1" x14ac:dyDescent="0.3">
      <c r="A213" s="298" t="s">
        <v>287</v>
      </c>
      <c r="B213" s="69" t="str">
        <f>VLOOKUP(A213,URS確認!$E:$F,2,FALSE)</f>
        <v xml:space="preserve">顧客控管警訊資料維護                    </v>
      </c>
      <c r="C213" s="298">
        <v>1</v>
      </c>
      <c r="D213" s="74" t="s">
        <v>1694</v>
      </c>
      <c r="E213" s="71">
        <v>44434</v>
      </c>
      <c r="F213" s="71">
        <v>44469</v>
      </c>
      <c r="G213" s="71">
        <v>44499</v>
      </c>
      <c r="H213" s="71">
        <v>44499</v>
      </c>
      <c r="I213" s="298" t="s">
        <v>122</v>
      </c>
      <c r="M213" s="298" t="s">
        <v>1495</v>
      </c>
    </row>
    <row r="214" spans="1:13" ht="33" customHeight="1" x14ac:dyDescent="0.3">
      <c r="A214" s="298" t="s">
        <v>287</v>
      </c>
      <c r="B214" s="69" t="str">
        <f>VLOOKUP(A214,URS確認!$E:$F,2,FALSE)</f>
        <v xml:space="preserve">顧客控管警訊資料維護                    </v>
      </c>
      <c r="C214" s="298">
        <v>2</v>
      </c>
      <c r="D214" s="74" t="s">
        <v>1695</v>
      </c>
      <c r="E214" s="71">
        <v>44434</v>
      </c>
      <c r="F214" s="71">
        <v>44469</v>
      </c>
      <c r="G214" s="71">
        <v>44441</v>
      </c>
      <c r="H214" s="71">
        <v>44448</v>
      </c>
      <c r="I214" s="298" t="s">
        <v>189</v>
      </c>
      <c r="M214" s="298" t="s">
        <v>1495</v>
      </c>
    </row>
    <row r="215" spans="1:13" ht="33" customHeight="1" x14ac:dyDescent="0.3">
      <c r="A215" s="298" t="s">
        <v>287</v>
      </c>
      <c r="B215" s="69" t="str">
        <f>VLOOKUP(A215,URS確認!$E:$F,2,FALSE)</f>
        <v xml:space="preserve">顧客控管警訊資料維護                    </v>
      </c>
      <c r="C215" s="298">
        <v>3</v>
      </c>
      <c r="D215" s="74" t="s">
        <v>1696</v>
      </c>
      <c r="E215" s="71">
        <v>44434</v>
      </c>
      <c r="F215" s="71">
        <v>44469</v>
      </c>
      <c r="G215" s="71">
        <v>44482</v>
      </c>
      <c r="H215" s="71">
        <v>44482</v>
      </c>
      <c r="I215" s="298" t="s">
        <v>300</v>
      </c>
      <c r="M215" s="298" t="s">
        <v>1495</v>
      </c>
    </row>
    <row r="216" spans="1:13" x14ac:dyDescent="0.3">
      <c r="A216" s="298" t="s">
        <v>287</v>
      </c>
      <c r="B216" s="69" t="str">
        <f>VLOOKUP(A216,URS確認!$E:$F,2,FALSE)</f>
        <v xml:space="preserve">顧客控管警訊資料維護                    </v>
      </c>
      <c r="C216" s="298">
        <v>4</v>
      </c>
      <c r="D216" s="74" t="s">
        <v>1697</v>
      </c>
      <c r="E216" s="71">
        <v>44434</v>
      </c>
      <c r="F216" s="71">
        <v>44442</v>
      </c>
      <c r="G216" s="71">
        <v>44441</v>
      </c>
      <c r="H216" s="71">
        <v>44448</v>
      </c>
      <c r="I216" s="298" t="s">
        <v>189</v>
      </c>
      <c r="M216" s="298" t="s">
        <v>1495</v>
      </c>
    </row>
    <row r="217" spans="1:13" x14ac:dyDescent="0.3">
      <c r="A217" s="298" t="s">
        <v>291</v>
      </c>
      <c r="B217" s="69" t="str">
        <f>VLOOKUP(A217,URS確認!$E:$F,2,FALSE)</f>
        <v xml:space="preserve">顧客控管警訊明細資料查詢                </v>
      </c>
      <c r="C217" s="298">
        <v>1</v>
      </c>
      <c r="D217" s="74" t="s">
        <v>1698</v>
      </c>
      <c r="E217" s="71">
        <v>44434</v>
      </c>
      <c r="F217" s="71">
        <v>44434</v>
      </c>
      <c r="G217" s="71">
        <v>44434</v>
      </c>
      <c r="H217" s="71">
        <v>44441</v>
      </c>
      <c r="I217" s="298" t="s">
        <v>122</v>
      </c>
      <c r="L217" s="298" t="s">
        <v>1479</v>
      </c>
    </row>
    <row r="218" spans="1:13" ht="82.5" customHeight="1" x14ac:dyDescent="0.3">
      <c r="A218" s="298" t="s">
        <v>291</v>
      </c>
      <c r="B218" s="69" t="str">
        <f>VLOOKUP(A218,URS確認!$E:$F,2,FALSE)</f>
        <v xml:space="preserve">顧客控管警訊明細資料查詢                </v>
      </c>
      <c r="C218" s="298">
        <v>2</v>
      </c>
      <c r="D218" s="74" t="s">
        <v>1699</v>
      </c>
      <c r="E218" s="71">
        <v>44434</v>
      </c>
      <c r="F218" s="71">
        <v>44434</v>
      </c>
      <c r="G218" s="71">
        <v>44434</v>
      </c>
      <c r="H218" s="71">
        <v>44441</v>
      </c>
      <c r="I218" s="298" t="s">
        <v>122</v>
      </c>
      <c r="L218" s="298" t="s">
        <v>1479</v>
      </c>
    </row>
    <row r="219" spans="1:13" x14ac:dyDescent="0.3">
      <c r="A219" s="298" t="s">
        <v>298</v>
      </c>
      <c r="B219" s="69" t="str">
        <f>VLOOKUP(A219,URS確認!$E:$F,2,FALSE)</f>
        <v>首次撥款審核資料表</v>
      </c>
      <c r="C219" s="298">
        <v>1</v>
      </c>
      <c r="D219" s="74" t="s">
        <v>1700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8" t="s">
        <v>1530</v>
      </c>
      <c r="L219" s="298" t="s">
        <v>1479</v>
      </c>
    </row>
    <row r="220" spans="1:13" x14ac:dyDescent="0.3">
      <c r="A220" s="298" t="s">
        <v>298</v>
      </c>
      <c r="B220" s="69" t="str">
        <f>VLOOKUP(A220,URS確認!$E:$F,2,FALSE)</f>
        <v>首次撥款審核資料表</v>
      </c>
      <c r="C220" s="298">
        <v>2</v>
      </c>
      <c r="D220" s="74" t="s">
        <v>1701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8" t="s">
        <v>1530</v>
      </c>
      <c r="L220" s="298" t="s">
        <v>1479</v>
      </c>
    </row>
    <row r="221" spans="1:13" x14ac:dyDescent="0.3">
      <c r="A221" s="298" t="s">
        <v>298</v>
      </c>
      <c r="B221" s="69" t="str">
        <f>VLOOKUP(A221,URS確認!$E:$F,2,FALSE)</f>
        <v>首次撥款審核資料表</v>
      </c>
      <c r="C221" s="298">
        <v>3</v>
      </c>
      <c r="D221" s="74" t="s">
        <v>1702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8" t="s">
        <v>1530</v>
      </c>
      <c r="L221" s="298" t="s">
        <v>1479</v>
      </c>
    </row>
    <row r="222" spans="1:13" x14ac:dyDescent="0.3">
      <c r="A222" s="298" t="s">
        <v>298</v>
      </c>
      <c r="B222" s="69" t="str">
        <f>VLOOKUP(A222,URS確認!$E:$F,2,FALSE)</f>
        <v>首次撥款審核資料表</v>
      </c>
      <c r="C222" s="298">
        <v>4</v>
      </c>
      <c r="D222" s="74" t="s">
        <v>1703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8" t="s">
        <v>1530</v>
      </c>
      <c r="L222" s="298" t="s">
        <v>1479</v>
      </c>
    </row>
    <row r="223" spans="1:13" x14ac:dyDescent="0.3">
      <c r="A223" s="298" t="s">
        <v>298</v>
      </c>
      <c r="B223" s="69" t="str">
        <f>VLOOKUP(A223,URS確認!$E:$F,2,FALSE)</f>
        <v>首次撥款審核資料表</v>
      </c>
      <c r="C223" s="298">
        <v>5</v>
      </c>
      <c r="D223" s="74" t="s">
        <v>1704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8" t="s">
        <v>1530</v>
      </c>
      <c r="L223" s="298" t="s">
        <v>1479</v>
      </c>
    </row>
    <row r="224" spans="1:13" x14ac:dyDescent="0.3">
      <c r="A224" s="298" t="s">
        <v>298</v>
      </c>
      <c r="B224" s="69" t="str">
        <f>VLOOKUP(A224,URS確認!$E:$F,2,FALSE)</f>
        <v>首次撥款審核資料表</v>
      </c>
      <c r="C224" s="298">
        <v>6</v>
      </c>
      <c r="D224" s="74" t="s">
        <v>1705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8" t="s">
        <v>1530</v>
      </c>
      <c r="L224" s="298" t="s">
        <v>1479</v>
      </c>
    </row>
    <row r="225" spans="1:12" x14ac:dyDescent="0.3">
      <c r="A225" s="298" t="s">
        <v>298</v>
      </c>
      <c r="B225" s="69" t="str">
        <f>VLOOKUP(A225,URS確認!$E:$F,2,FALSE)</f>
        <v>首次撥款審核資料表</v>
      </c>
      <c r="C225" s="298">
        <v>7</v>
      </c>
      <c r="D225" s="74" t="s">
        <v>1706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8" t="s">
        <v>1530</v>
      </c>
      <c r="L225" s="298" t="s">
        <v>1479</v>
      </c>
    </row>
    <row r="226" spans="1:12" x14ac:dyDescent="0.3">
      <c r="A226" s="298" t="s">
        <v>298</v>
      </c>
      <c r="B226" s="69" t="str">
        <f>VLOOKUP(A226,URS確認!$E:$F,2,FALSE)</f>
        <v>首次撥款審核資料表</v>
      </c>
      <c r="C226" s="298">
        <v>8</v>
      </c>
      <c r="D226" s="74" t="s">
        <v>1707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8" t="s">
        <v>1530</v>
      </c>
      <c r="L226" s="298" t="s">
        <v>1479</v>
      </c>
    </row>
    <row r="227" spans="1:12" x14ac:dyDescent="0.3">
      <c r="A227" s="298" t="s">
        <v>298</v>
      </c>
      <c r="B227" s="69" t="str">
        <f>VLOOKUP(A227,URS確認!$E:$F,2,FALSE)</f>
        <v>首次撥款審核資料表</v>
      </c>
      <c r="C227" s="298">
        <v>9</v>
      </c>
      <c r="D227" s="74" t="s">
        <v>1708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8" t="s">
        <v>1530</v>
      </c>
      <c r="L227" s="298" t="s">
        <v>1479</v>
      </c>
    </row>
    <row r="228" spans="1:12" x14ac:dyDescent="0.3">
      <c r="A228" s="298" t="s">
        <v>298</v>
      </c>
      <c r="B228" s="69" t="str">
        <f>VLOOKUP(A228,URS確認!$E:$F,2,FALSE)</f>
        <v>首次撥款審核資料表</v>
      </c>
      <c r="C228" s="298">
        <v>10</v>
      </c>
      <c r="D228" s="74" t="s">
        <v>2794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8" t="s">
        <v>1530</v>
      </c>
      <c r="L228" s="298" t="s">
        <v>1479</v>
      </c>
    </row>
    <row r="229" spans="1:12" x14ac:dyDescent="0.3">
      <c r="A229" s="298" t="s">
        <v>298</v>
      </c>
      <c r="B229" s="69" t="str">
        <f>VLOOKUP(A229,URS確認!$E:$F,2,FALSE)</f>
        <v>首次撥款審核資料表</v>
      </c>
      <c r="C229" s="298">
        <v>11</v>
      </c>
      <c r="D229" s="74" t="s">
        <v>1709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8" t="s">
        <v>1530</v>
      </c>
      <c r="L229" s="298" t="s">
        <v>1479</v>
      </c>
    </row>
    <row r="230" spans="1:12" x14ac:dyDescent="0.3">
      <c r="A230" s="298" t="s">
        <v>298</v>
      </c>
      <c r="B230" s="69" t="str">
        <f>VLOOKUP(A230,URS確認!$E:$F,2,FALSE)</f>
        <v>首次撥款審核資料表</v>
      </c>
      <c r="C230" s="298">
        <v>12</v>
      </c>
      <c r="D230" s="74" t="s">
        <v>1710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8" t="s">
        <v>1530</v>
      </c>
      <c r="L230" s="298" t="s">
        <v>1479</v>
      </c>
    </row>
    <row r="231" spans="1:12" x14ac:dyDescent="0.3">
      <c r="A231" s="298" t="s">
        <v>298</v>
      </c>
      <c r="B231" s="69" t="str">
        <f>VLOOKUP(A231,URS確認!$E:$F,2,FALSE)</f>
        <v>首次撥款審核資料表</v>
      </c>
      <c r="C231" s="298">
        <v>13</v>
      </c>
      <c r="D231" s="74" t="s">
        <v>1711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8" t="s">
        <v>1530</v>
      </c>
      <c r="L231" s="298" t="s">
        <v>1479</v>
      </c>
    </row>
    <row r="232" spans="1:12" x14ac:dyDescent="0.3">
      <c r="A232" s="298" t="s">
        <v>298</v>
      </c>
      <c r="B232" s="69" t="str">
        <f>VLOOKUP(A232,URS確認!$E:$F,2,FALSE)</f>
        <v>首次撥款審核資料表</v>
      </c>
      <c r="C232" s="298">
        <v>14</v>
      </c>
      <c r="D232" s="74" t="s">
        <v>1712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8" t="s">
        <v>1530</v>
      </c>
      <c r="L232" s="298" t="s">
        <v>1479</v>
      </c>
    </row>
    <row r="233" spans="1:12" x14ac:dyDescent="0.3">
      <c r="A233" s="298" t="s">
        <v>298</v>
      </c>
      <c r="B233" s="69" t="str">
        <f>VLOOKUP(A233,URS確認!$E:$F,2,FALSE)</f>
        <v>首次撥款審核資料表</v>
      </c>
      <c r="C233" s="298">
        <v>15</v>
      </c>
      <c r="D233" s="74" t="s">
        <v>1713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8" t="s">
        <v>1530</v>
      </c>
      <c r="L233" s="298" t="s">
        <v>1479</v>
      </c>
    </row>
    <row r="234" spans="1:12" ht="33" customHeight="1" x14ac:dyDescent="0.3">
      <c r="A234" s="298" t="s">
        <v>298</v>
      </c>
      <c r="B234" s="69" t="str">
        <f>VLOOKUP(A234,URS確認!$E:$F,2,FALSE)</f>
        <v>首次撥款審核資料表</v>
      </c>
      <c r="C234" s="298">
        <v>16</v>
      </c>
      <c r="D234" s="74" t="s">
        <v>1714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8" t="s">
        <v>1530</v>
      </c>
      <c r="L234" s="298" t="s">
        <v>1479</v>
      </c>
    </row>
    <row r="235" spans="1:12" x14ac:dyDescent="0.3">
      <c r="A235" s="298" t="s">
        <v>298</v>
      </c>
      <c r="B235" s="69" t="str">
        <f>VLOOKUP(A235,URS確認!$E:$F,2,FALSE)</f>
        <v>首次撥款審核資料表</v>
      </c>
      <c r="C235" s="298">
        <v>17</v>
      </c>
      <c r="D235" s="74" t="s">
        <v>1715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8" t="s">
        <v>1530</v>
      </c>
      <c r="L235" s="298" t="s">
        <v>1479</v>
      </c>
    </row>
    <row r="236" spans="1:12" x14ac:dyDescent="0.3">
      <c r="A236" s="298" t="s">
        <v>298</v>
      </c>
      <c r="B236" s="69" t="str">
        <f>VLOOKUP(A236,URS確認!$E:$F,2,FALSE)</f>
        <v>首次撥款審核資料表</v>
      </c>
      <c r="C236" s="298">
        <v>18</v>
      </c>
      <c r="D236" s="74" t="s">
        <v>1716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8" t="s">
        <v>1530</v>
      </c>
      <c r="L236" s="298" t="s">
        <v>1479</v>
      </c>
    </row>
    <row r="237" spans="1:12" x14ac:dyDescent="0.3">
      <c r="A237" s="298" t="s">
        <v>298</v>
      </c>
      <c r="B237" s="69" t="str">
        <f>VLOOKUP(A237,URS確認!$E:$F,2,FALSE)</f>
        <v>首次撥款審核資料表</v>
      </c>
      <c r="C237" s="298">
        <v>19</v>
      </c>
      <c r="D237" s="74" t="s">
        <v>1717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8" t="s">
        <v>1530</v>
      </c>
      <c r="L237" s="298" t="s">
        <v>1479</v>
      </c>
    </row>
    <row r="238" spans="1:12" x14ac:dyDescent="0.3">
      <c r="A238" s="298" t="s">
        <v>298</v>
      </c>
      <c r="B238" s="69" t="str">
        <f>VLOOKUP(A238,URS確認!$E:$F,2,FALSE)</f>
        <v>首次撥款審核資料表</v>
      </c>
      <c r="C238" s="298">
        <v>20</v>
      </c>
      <c r="D238" s="74" t="s">
        <v>1718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8" t="s">
        <v>1530</v>
      </c>
      <c r="J238" s="298" t="s">
        <v>1479</v>
      </c>
      <c r="L238" s="298" t="s">
        <v>1479</v>
      </c>
    </row>
    <row r="239" spans="1:12" ht="33" customHeight="1" x14ac:dyDescent="0.3">
      <c r="A239" s="298" t="s">
        <v>312</v>
      </c>
      <c r="B239" s="69" t="str">
        <f>VLOOKUP(A239,URS確認!$E:$F,2,FALSE)</f>
        <v xml:space="preserve">撥款                     </v>
      </c>
      <c r="C239" s="298">
        <v>1</v>
      </c>
      <c r="D239" s="74" t="s">
        <v>1719</v>
      </c>
      <c r="E239" s="71">
        <v>44438</v>
      </c>
      <c r="F239" s="71">
        <v>44442</v>
      </c>
      <c r="G239" s="71">
        <v>44442</v>
      </c>
      <c r="H239" s="71">
        <v>44487</v>
      </c>
      <c r="I239" s="298" t="s">
        <v>180</v>
      </c>
      <c r="L239" s="298" t="s">
        <v>1479</v>
      </c>
    </row>
    <row r="240" spans="1:12" x14ac:dyDescent="0.3">
      <c r="A240" s="298" t="s">
        <v>312</v>
      </c>
      <c r="B240" s="69" t="str">
        <f>VLOOKUP(A240,URS確認!$E:$F,2,FALSE)</f>
        <v xml:space="preserve">撥款                     </v>
      </c>
      <c r="C240" s="298">
        <v>2</v>
      </c>
      <c r="D240" s="74" t="s">
        <v>1720</v>
      </c>
      <c r="E240" s="71">
        <v>44438</v>
      </c>
      <c r="F240" s="71">
        <v>44442</v>
      </c>
      <c r="G240" s="71">
        <v>44442</v>
      </c>
      <c r="H240" s="71">
        <v>44487</v>
      </c>
      <c r="I240" s="298" t="s">
        <v>180</v>
      </c>
      <c r="L240" s="298" t="s">
        <v>1479</v>
      </c>
    </row>
    <row r="241" spans="1:13" x14ac:dyDescent="0.3">
      <c r="A241" s="298" t="s">
        <v>312</v>
      </c>
      <c r="B241" s="69" t="str">
        <f>VLOOKUP(A241,URS確認!$E:$F,2,FALSE)</f>
        <v xml:space="preserve">撥款                     </v>
      </c>
      <c r="C241" s="298">
        <v>3</v>
      </c>
      <c r="D241" s="74" t="s">
        <v>1721</v>
      </c>
      <c r="E241" s="71">
        <v>44438</v>
      </c>
      <c r="F241" s="71">
        <v>44442</v>
      </c>
      <c r="G241" s="71">
        <v>44442</v>
      </c>
      <c r="H241" s="71">
        <v>44487</v>
      </c>
      <c r="I241" s="298" t="s">
        <v>180</v>
      </c>
      <c r="J241" s="298" t="s">
        <v>1479</v>
      </c>
    </row>
    <row r="242" spans="1:13" x14ac:dyDescent="0.3">
      <c r="A242" s="298" t="s">
        <v>312</v>
      </c>
      <c r="B242" s="69" t="str">
        <f>VLOOKUP(A242,URS確認!$E:$F,2,FALSE)</f>
        <v xml:space="preserve">撥款                     </v>
      </c>
      <c r="C242" s="298">
        <v>4</v>
      </c>
      <c r="D242" s="74" t="s">
        <v>1722</v>
      </c>
      <c r="E242" s="71">
        <v>44438</v>
      </c>
      <c r="F242" s="71">
        <v>44442</v>
      </c>
      <c r="G242" s="71">
        <v>44442</v>
      </c>
      <c r="H242" s="71">
        <v>44487</v>
      </c>
      <c r="I242" s="298" t="s">
        <v>180</v>
      </c>
      <c r="L242" s="298" t="s">
        <v>1479</v>
      </c>
    </row>
    <row r="243" spans="1:13" x14ac:dyDescent="0.3">
      <c r="A243" s="298" t="s">
        <v>316</v>
      </c>
      <c r="B243" s="69" t="str">
        <f>VLOOKUP(A243,URS確認!$E:$F,2,FALSE)</f>
        <v xml:space="preserve">撥款明細資料查詢         </v>
      </c>
      <c r="C243" s="298">
        <v>1</v>
      </c>
      <c r="D243" s="74" t="s">
        <v>1723</v>
      </c>
      <c r="E243" s="71">
        <v>44438</v>
      </c>
      <c r="F243" s="71">
        <v>44442</v>
      </c>
      <c r="G243" s="71">
        <v>44442</v>
      </c>
      <c r="H243" s="71">
        <v>44487</v>
      </c>
      <c r="I243" s="298" t="s">
        <v>180</v>
      </c>
      <c r="L243" s="298" t="s">
        <v>1479</v>
      </c>
    </row>
    <row r="244" spans="1:13" x14ac:dyDescent="0.3">
      <c r="A244" s="298" t="s">
        <v>316</v>
      </c>
      <c r="B244" s="69" t="str">
        <f>VLOOKUP(A244,URS確認!$E:$F,2,FALSE)</f>
        <v xml:space="preserve">撥款明細資料查詢         </v>
      </c>
      <c r="C244" s="298">
        <v>2</v>
      </c>
      <c r="D244" s="74" t="s">
        <v>1724</v>
      </c>
      <c r="E244" s="71">
        <v>44438</v>
      </c>
      <c r="F244" s="71">
        <v>44442</v>
      </c>
      <c r="G244" s="71">
        <v>44442</v>
      </c>
      <c r="H244" s="71">
        <v>44487</v>
      </c>
      <c r="I244" s="298" t="s">
        <v>180</v>
      </c>
      <c r="L244" s="298" t="s">
        <v>1479</v>
      </c>
    </row>
    <row r="245" spans="1:13" x14ac:dyDescent="0.3">
      <c r="A245" s="298" t="s">
        <v>319</v>
      </c>
      <c r="B245" s="69" t="str">
        <f>VLOOKUP(A245,URS確認!$E:$F,2,FALSE)</f>
        <v xml:space="preserve">撥款內容查詢             </v>
      </c>
      <c r="C245" s="298">
        <v>1</v>
      </c>
      <c r="D245" s="74" t="s">
        <v>1725</v>
      </c>
      <c r="E245" s="71">
        <v>44438</v>
      </c>
      <c r="F245" s="71">
        <v>44442</v>
      </c>
      <c r="G245" s="71">
        <v>44442</v>
      </c>
      <c r="H245" s="71">
        <v>44487</v>
      </c>
      <c r="I245" s="298" t="s">
        <v>180</v>
      </c>
      <c r="J245" s="298" t="s">
        <v>1479</v>
      </c>
    </row>
    <row r="246" spans="1:13" x14ac:dyDescent="0.3">
      <c r="A246" s="298" t="s">
        <v>319</v>
      </c>
      <c r="B246" s="69" t="str">
        <f>VLOOKUP(A246,URS確認!$E:$F,2,FALSE)</f>
        <v xml:space="preserve">撥款內容查詢             </v>
      </c>
      <c r="C246" s="298">
        <v>2</v>
      </c>
      <c r="D246" s="74" t="s">
        <v>1726</v>
      </c>
      <c r="E246" s="71">
        <v>44438</v>
      </c>
      <c r="F246" s="71">
        <v>44442</v>
      </c>
      <c r="G246" s="71">
        <v>44442</v>
      </c>
      <c r="H246" s="71">
        <v>44487</v>
      </c>
      <c r="I246" s="298" t="s">
        <v>180</v>
      </c>
      <c r="J246" s="298" t="s">
        <v>1479</v>
      </c>
    </row>
    <row r="247" spans="1:13" x14ac:dyDescent="0.3">
      <c r="A247" s="298" t="s">
        <v>355</v>
      </c>
      <c r="B247" s="69" t="str">
        <f>VLOOKUP(A247,URS確認!$E:$F,2,FALSE)</f>
        <v>撥款退款作業</v>
      </c>
      <c r="C247" s="298">
        <v>1</v>
      </c>
      <c r="D247" s="74" t="s">
        <v>1727</v>
      </c>
      <c r="E247" s="71">
        <v>44438</v>
      </c>
      <c r="F247" s="71">
        <v>44476</v>
      </c>
      <c r="G247" s="71">
        <v>44476</v>
      </c>
      <c r="H247" s="71">
        <v>44552</v>
      </c>
      <c r="I247" s="298" t="s">
        <v>180</v>
      </c>
      <c r="M247" s="298" t="s">
        <v>1495</v>
      </c>
    </row>
    <row r="248" spans="1:13" x14ac:dyDescent="0.3">
      <c r="A248" s="298" t="s">
        <v>905</v>
      </c>
      <c r="B248" s="69" t="str">
        <f>VLOOKUP(A248,URS確認!$E:$F,2,FALSE)</f>
        <v>AML姓名檢核查詢</v>
      </c>
      <c r="C248" s="298">
        <v>1</v>
      </c>
      <c r="D248" s="74" t="s">
        <v>1728</v>
      </c>
      <c r="E248" s="71">
        <v>44438</v>
      </c>
      <c r="F248" s="71">
        <v>44447</v>
      </c>
      <c r="G248" s="71">
        <v>44462</v>
      </c>
      <c r="H248" s="71">
        <v>44552</v>
      </c>
      <c r="I248" s="298" t="s">
        <v>180</v>
      </c>
      <c r="L248" s="298" t="s">
        <v>1479</v>
      </c>
    </row>
    <row r="249" spans="1:13" ht="33" customHeight="1" x14ac:dyDescent="0.3">
      <c r="A249" s="298" t="s">
        <v>306</v>
      </c>
      <c r="B249" s="69" t="str">
        <f>VLOOKUP(A249,URS確認!$E:$F,2,FALSE)</f>
        <v xml:space="preserve">預約撥款                 </v>
      </c>
      <c r="C249" s="298">
        <v>1</v>
      </c>
      <c r="D249" s="123" t="s">
        <v>1729</v>
      </c>
      <c r="E249" s="71">
        <v>44439</v>
      </c>
      <c r="F249" s="71">
        <v>44446</v>
      </c>
      <c r="G249" s="71">
        <v>44446</v>
      </c>
      <c r="H249" s="71">
        <v>44490</v>
      </c>
      <c r="I249" s="298" t="str">
        <f>VLOOKUP(A249,URS確認!E:I,5,FALSE)</f>
        <v>余家興</v>
      </c>
      <c r="L249" s="298" t="s">
        <v>1479</v>
      </c>
    </row>
    <row r="250" spans="1:13" x14ac:dyDescent="0.3">
      <c r="A250" s="298" t="s">
        <v>306</v>
      </c>
      <c r="B250" s="69" t="str">
        <f>VLOOKUP(A250,URS確認!$E:$F,2,FALSE)</f>
        <v xml:space="preserve">預約撥款                 </v>
      </c>
      <c r="C250" s="298">
        <v>2</v>
      </c>
      <c r="D250" s="74" t="s">
        <v>1720</v>
      </c>
      <c r="E250" s="71">
        <v>44439</v>
      </c>
      <c r="F250" s="71">
        <v>44446</v>
      </c>
      <c r="G250" s="71">
        <v>44446</v>
      </c>
      <c r="H250" s="71">
        <v>44490</v>
      </c>
      <c r="I250" s="298" t="str">
        <f>VLOOKUP(A250,URS確認!E:I,5,FALSE)</f>
        <v>余家興</v>
      </c>
      <c r="L250" s="298" t="s">
        <v>1479</v>
      </c>
    </row>
    <row r="251" spans="1:13" x14ac:dyDescent="0.3">
      <c r="A251" s="298" t="s">
        <v>310</v>
      </c>
      <c r="B251" s="69" t="str">
        <f>VLOOKUP(A251,URS確認!$E:$F,2,FALSE)</f>
        <v>預約撥款到期作業</v>
      </c>
      <c r="C251" s="298">
        <v>1</v>
      </c>
      <c r="D251" s="74" t="s">
        <v>1730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8" t="str">
        <f>VLOOKUP(A251,URS確認!E:I,5,FALSE)</f>
        <v>余家興</v>
      </c>
      <c r="L251" s="298" t="s">
        <v>1479</v>
      </c>
    </row>
    <row r="252" spans="1:13" x14ac:dyDescent="0.3">
      <c r="A252" s="298" t="s">
        <v>340</v>
      </c>
      <c r="B252" s="69" t="str">
        <f>VLOOKUP(A252,URS確認!$E:$F,2,FALSE)</f>
        <v xml:space="preserve">交易內容查詢             </v>
      </c>
      <c r="C252" s="298">
        <v>1</v>
      </c>
      <c r="D252" s="74" t="s">
        <v>1731</v>
      </c>
      <c r="E252" s="71">
        <v>44439</v>
      </c>
      <c r="F252" s="71">
        <v>44446</v>
      </c>
      <c r="G252" s="71">
        <v>44446</v>
      </c>
      <c r="H252" s="71">
        <v>44487</v>
      </c>
      <c r="I252" s="298" t="str">
        <f>VLOOKUP(A252,URS確認!E:I,5,FALSE)</f>
        <v>余家興</v>
      </c>
      <c r="L252" s="298" t="s">
        <v>1479</v>
      </c>
    </row>
    <row r="253" spans="1:13" x14ac:dyDescent="0.3">
      <c r="A253" s="298" t="s">
        <v>343</v>
      </c>
      <c r="B253" s="69" t="str">
        <f>VLOOKUP(A253,URS確認!$E:$F,2,FALSE)</f>
        <v xml:space="preserve">交易明細資料查詢         </v>
      </c>
      <c r="C253" s="298">
        <v>1</v>
      </c>
      <c r="D253" s="74" t="s">
        <v>1732</v>
      </c>
      <c r="E253" s="71">
        <v>44439</v>
      </c>
      <c r="F253" s="71">
        <v>44446</v>
      </c>
      <c r="G253" s="71">
        <v>44446</v>
      </c>
      <c r="H253" s="71">
        <v>44487</v>
      </c>
      <c r="I253" s="298" t="str">
        <f>VLOOKUP(A253,URS確認!E:I,5,FALSE)</f>
        <v>余家興</v>
      </c>
      <c r="L253" s="298" t="s">
        <v>1479</v>
      </c>
    </row>
    <row r="254" spans="1:13" x14ac:dyDescent="0.3">
      <c r="A254" s="298" t="s">
        <v>348</v>
      </c>
      <c r="B254" s="69" t="str">
        <f>VLOOKUP(A254,URS確認!$E:$F,2,FALSE)</f>
        <v xml:space="preserve">借戶利率變更             </v>
      </c>
      <c r="C254" s="298">
        <v>1</v>
      </c>
      <c r="D254" s="74" t="s">
        <v>1733</v>
      </c>
      <c r="E254" s="71">
        <v>44439</v>
      </c>
      <c r="F254" s="71">
        <v>44446</v>
      </c>
      <c r="G254" s="71">
        <v>44446</v>
      </c>
      <c r="H254" s="71">
        <v>44487</v>
      </c>
      <c r="I254" s="298" t="str">
        <f>VLOOKUP(A254,URS確認!E:I,5,FALSE)</f>
        <v>余家興</v>
      </c>
      <c r="L254" s="298" t="s">
        <v>1479</v>
      </c>
    </row>
    <row r="255" spans="1:13" x14ac:dyDescent="0.3">
      <c r="A255" s="298" t="s">
        <v>323</v>
      </c>
      <c r="B255" s="69" t="s">
        <v>1734</v>
      </c>
      <c r="C255" s="298">
        <v>1</v>
      </c>
      <c r="D255" s="74" t="s">
        <v>1735</v>
      </c>
      <c r="E255" s="71">
        <v>44439</v>
      </c>
      <c r="F255" s="71">
        <v>44446</v>
      </c>
      <c r="G255" s="71">
        <v>44446</v>
      </c>
      <c r="H255" s="71">
        <v>44469</v>
      </c>
      <c r="I255" s="298" t="str">
        <f>VLOOKUP(A255,URS確認!E:I,5,FALSE)</f>
        <v>余家興</v>
      </c>
      <c r="L255" s="298" t="s">
        <v>1479</v>
      </c>
    </row>
    <row r="256" spans="1:13" x14ac:dyDescent="0.3">
      <c r="A256" s="298" t="s">
        <v>326</v>
      </c>
      <c r="B256" s="69" t="s">
        <v>1736</v>
      </c>
      <c r="C256" s="298">
        <v>1</v>
      </c>
      <c r="D256" s="74" t="s">
        <v>1737</v>
      </c>
      <c r="E256" s="71">
        <v>44439</v>
      </c>
      <c r="F256" s="71">
        <v>44446</v>
      </c>
      <c r="G256" s="71">
        <v>44446</v>
      </c>
      <c r="H256" s="71">
        <v>44469</v>
      </c>
      <c r="I256" s="298" t="str">
        <f>VLOOKUP(A256,URS確認!E:I,5,FALSE)</f>
        <v>余家興</v>
      </c>
      <c r="L256" s="298" t="s">
        <v>1479</v>
      </c>
    </row>
    <row r="257" spans="1:12" x14ac:dyDescent="0.3">
      <c r="A257" s="298" t="s">
        <v>326</v>
      </c>
      <c r="B257" s="69" t="s">
        <v>1736</v>
      </c>
      <c r="C257" s="298">
        <v>2</v>
      </c>
      <c r="D257" s="74" t="s">
        <v>1738</v>
      </c>
      <c r="E257" s="71">
        <v>44439</v>
      </c>
      <c r="F257" s="71">
        <v>44446</v>
      </c>
      <c r="G257" s="71">
        <v>44446</v>
      </c>
      <c r="H257" s="71">
        <v>44469</v>
      </c>
      <c r="I257" s="298" t="str">
        <f>VLOOKUP(A257,URS確認!E:I,5,FALSE)</f>
        <v>余家興</v>
      </c>
      <c r="L257" s="298" t="s">
        <v>1479</v>
      </c>
    </row>
    <row r="258" spans="1:12" x14ac:dyDescent="0.3">
      <c r="A258" s="298" t="s">
        <v>326</v>
      </c>
      <c r="B258" s="69" t="s">
        <v>1736</v>
      </c>
      <c r="C258" s="298">
        <v>3</v>
      </c>
      <c r="D258" s="74" t="s">
        <v>1739</v>
      </c>
      <c r="E258" s="71">
        <v>44439</v>
      </c>
      <c r="F258" s="71">
        <v>44446</v>
      </c>
      <c r="G258" s="71">
        <v>44446</v>
      </c>
      <c r="H258" s="71">
        <v>44469</v>
      </c>
      <c r="I258" s="298" t="str">
        <f>VLOOKUP(A258,URS確認!E:I,5,FALSE)</f>
        <v>余家興</v>
      </c>
      <c r="L258" s="298" t="s">
        <v>1479</v>
      </c>
    </row>
    <row r="259" spans="1:12" ht="49.5" customHeight="1" x14ac:dyDescent="0.3">
      <c r="A259" s="298" t="s">
        <v>326</v>
      </c>
      <c r="B259" s="69" t="s">
        <v>1736</v>
      </c>
      <c r="C259" s="298">
        <v>4</v>
      </c>
      <c r="D259" s="74" t="s">
        <v>1740</v>
      </c>
      <c r="E259" s="71">
        <v>44439</v>
      </c>
      <c r="F259" s="71">
        <v>44446</v>
      </c>
      <c r="G259" s="71">
        <v>44446</v>
      </c>
      <c r="H259" s="71">
        <v>44469</v>
      </c>
      <c r="I259" s="298" t="str">
        <f>VLOOKUP(A259,URS確認!E:I,5,FALSE)</f>
        <v>余家興</v>
      </c>
      <c r="L259" s="298" t="s">
        <v>1479</v>
      </c>
    </row>
    <row r="260" spans="1:12" x14ac:dyDescent="0.3">
      <c r="A260" s="298" t="s">
        <v>365</v>
      </c>
      <c r="B260" s="69" t="str">
        <f>VLOOKUP(A260,URS確認!$E:$F,2,FALSE)</f>
        <v xml:space="preserve">ACH授權資料查詢                      </v>
      </c>
      <c r="C260" s="298">
        <v>1</v>
      </c>
      <c r="D260" s="74" t="s">
        <v>1741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8" t="str">
        <f>VLOOKUP(A260,URS確認!E:I,5,FALSE)</f>
        <v>余家興</v>
      </c>
      <c r="L260" s="298" t="s">
        <v>1479</v>
      </c>
    </row>
    <row r="261" spans="1:12" ht="33" customHeight="1" x14ac:dyDescent="0.3">
      <c r="A261" s="298" t="s">
        <v>365</v>
      </c>
      <c r="B261" s="69" t="str">
        <f>VLOOKUP(A261,URS確認!$E:$F,2,FALSE)</f>
        <v xml:space="preserve">ACH授權資料查詢                      </v>
      </c>
      <c r="C261" s="298">
        <v>2</v>
      </c>
      <c r="D261" s="74" t="s">
        <v>1742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8" t="str">
        <f>VLOOKUP(A261,URS確認!E:I,5,FALSE)</f>
        <v>余家興</v>
      </c>
      <c r="L261" s="298" t="s">
        <v>1479</v>
      </c>
    </row>
    <row r="262" spans="1:12" x14ac:dyDescent="0.3">
      <c r="A262" s="298" t="s">
        <v>367</v>
      </c>
      <c r="B262" s="69" t="str">
        <f>VLOOKUP(A262,URS確認!$E:$F,2,FALSE)</f>
        <v xml:space="preserve">ACH授權資料建檔                      </v>
      </c>
      <c r="C262" s="298">
        <v>1</v>
      </c>
      <c r="D262" s="74" t="s">
        <v>1743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8" t="str">
        <f>VLOOKUP(A262,URS確認!E:I,5,FALSE)</f>
        <v>余家興</v>
      </c>
      <c r="L262" s="298" t="s">
        <v>1479</v>
      </c>
    </row>
    <row r="263" spans="1:12" ht="33" customHeight="1" x14ac:dyDescent="0.3">
      <c r="A263" s="298" t="s">
        <v>367</v>
      </c>
      <c r="B263" s="69" t="str">
        <f>VLOOKUP(A263,URS確認!$E:$F,2,FALSE)</f>
        <v xml:space="preserve">ACH授權資料建檔                      </v>
      </c>
      <c r="C263" s="298">
        <v>2</v>
      </c>
      <c r="D263" s="147" t="s">
        <v>1744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8" t="str">
        <f>VLOOKUP(A263,URS確認!E:I,5,FALSE)</f>
        <v>余家興</v>
      </c>
      <c r="L263" s="298" t="s">
        <v>1479</v>
      </c>
    </row>
    <row r="264" spans="1:12" x14ac:dyDescent="0.3">
      <c r="A264" s="298" t="s">
        <v>373</v>
      </c>
      <c r="B264" s="69" t="str">
        <f>VLOOKUP(A264,URS確認!$E:$F,2,FALSE)</f>
        <v>帳號授權檔查詢</v>
      </c>
      <c r="C264" s="298">
        <v>1</v>
      </c>
      <c r="D264" s="74" t="s">
        <v>1745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8" t="str">
        <f>VLOOKUP(A264,URS確認!E:I,5,FALSE)</f>
        <v>余家興</v>
      </c>
      <c r="L264" s="298" t="s">
        <v>1479</v>
      </c>
    </row>
    <row r="265" spans="1:12" x14ac:dyDescent="0.3">
      <c r="A265" s="298" t="s">
        <v>375</v>
      </c>
      <c r="B265" s="69" t="str">
        <f>VLOOKUP(A265,URS確認!$E:$F,2,FALSE)</f>
        <v>ACH授權資料歷史紀錄查詢</v>
      </c>
      <c r="C265" s="298">
        <v>1</v>
      </c>
      <c r="D265" s="74" t="s">
        <v>1746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8" t="str">
        <f>VLOOKUP(A265,URS確認!E:I,5,FALSE)</f>
        <v>余家興</v>
      </c>
      <c r="L265" s="298" t="s">
        <v>1479</v>
      </c>
    </row>
    <row r="266" spans="1:12" x14ac:dyDescent="0.3">
      <c r="A266" s="298" t="s">
        <v>375</v>
      </c>
      <c r="B266" s="69" t="str">
        <f>VLOOKUP(A266,URS確認!$E:$F,2,FALSE)</f>
        <v>ACH授權資料歷史紀錄查詢</v>
      </c>
      <c r="C266" s="298">
        <v>2</v>
      </c>
      <c r="D266" s="74" t="s">
        <v>1747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8" t="str">
        <f>VLOOKUP(A266,URS確認!E:I,5,FALSE)</f>
        <v>余家興</v>
      </c>
      <c r="L266" s="298" t="s">
        <v>1479</v>
      </c>
    </row>
    <row r="267" spans="1:12" x14ac:dyDescent="0.3">
      <c r="A267" s="298" t="s">
        <v>375</v>
      </c>
      <c r="B267" s="69" t="str">
        <f>VLOOKUP(A267,URS確認!$E:$F,2,FALSE)</f>
        <v>ACH授權資料歷史紀錄查詢</v>
      </c>
      <c r="C267" s="298">
        <v>3</v>
      </c>
      <c r="D267" s="74" t="s">
        <v>1748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8" t="str">
        <f>VLOOKUP(A267,URS確認!E:I,5,FALSE)</f>
        <v>余家興</v>
      </c>
      <c r="L267" s="298" t="s">
        <v>1479</v>
      </c>
    </row>
    <row r="268" spans="1:12" x14ac:dyDescent="0.3">
      <c r="B268" s="69" t="s">
        <v>1749</v>
      </c>
      <c r="C268" s="298">
        <v>1</v>
      </c>
      <c r="D268" s="69" t="s">
        <v>1750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8" t="s">
        <v>180</v>
      </c>
      <c r="L268" s="298" t="s">
        <v>1479</v>
      </c>
    </row>
    <row r="269" spans="1:12" ht="33" customHeight="1" x14ac:dyDescent="0.3">
      <c r="A269" s="298" t="s">
        <v>204</v>
      </c>
      <c r="B269" s="69" t="str">
        <f>VLOOKUP(A269,URS確認!$E:$F,2,FALSE)</f>
        <v xml:space="preserve">額度資料維護                            </v>
      </c>
      <c r="C269" s="298">
        <v>1</v>
      </c>
      <c r="D269" s="74" t="s">
        <v>1751</v>
      </c>
      <c r="E269" s="71">
        <v>44448</v>
      </c>
      <c r="F269" s="71">
        <v>44467</v>
      </c>
      <c r="G269" s="71">
        <v>44467</v>
      </c>
      <c r="H269" s="71">
        <v>44468</v>
      </c>
      <c r="I269" s="298" t="str">
        <f>VLOOKUP(A269,URS確認!E:I,5,FALSE)</f>
        <v>余家興</v>
      </c>
      <c r="L269" s="298" t="s">
        <v>1479</v>
      </c>
    </row>
    <row r="270" spans="1:12" x14ac:dyDescent="0.3">
      <c r="A270" s="298" t="s">
        <v>204</v>
      </c>
      <c r="B270" s="69" t="str">
        <f>VLOOKUP(A270,URS確認!$E:$F,2,FALSE)</f>
        <v xml:space="preserve">額度資料維護                            </v>
      </c>
      <c r="C270" s="298">
        <v>2</v>
      </c>
      <c r="D270" s="74" t="s">
        <v>1752</v>
      </c>
      <c r="E270" s="71">
        <v>44448</v>
      </c>
      <c r="F270" s="71">
        <v>44461</v>
      </c>
      <c r="G270" s="71">
        <v>44461</v>
      </c>
      <c r="H270" s="71">
        <v>44468</v>
      </c>
      <c r="I270" s="298" t="str">
        <f>VLOOKUP(A270,URS確認!E:I,5,FALSE)</f>
        <v>余家興</v>
      </c>
      <c r="L270" s="298" t="s">
        <v>1479</v>
      </c>
    </row>
    <row r="271" spans="1:12" x14ac:dyDescent="0.3">
      <c r="A271" s="298" t="s">
        <v>377</v>
      </c>
      <c r="B271" s="69" t="str">
        <f>VLOOKUP(A271,URS確認!$E:$F,2,FALSE)</f>
        <v xml:space="preserve">郵局授權資料查詢                     </v>
      </c>
      <c r="C271" s="298">
        <v>1</v>
      </c>
      <c r="D271" s="147" t="s">
        <v>1753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8" t="str">
        <f>VLOOKUP(A271,URS確認!E:I,5,FALSE)</f>
        <v>余家興</v>
      </c>
      <c r="L271" s="298" t="s">
        <v>1479</v>
      </c>
    </row>
    <row r="272" spans="1:12" x14ac:dyDescent="0.3">
      <c r="A272" s="298" t="s">
        <v>379</v>
      </c>
      <c r="B272" s="69" t="str">
        <f>VLOOKUP(A272,URS確認!$E:$F,2,FALSE)</f>
        <v xml:space="preserve">郵局授權資料建檔                     </v>
      </c>
      <c r="C272" s="298">
        <v>1</v>
      </c>
      <c r="D272" s="74" t="s">
        <v>1754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8" t="str">
        <f>VLOOKUP(A272,URS確認!E:I,5,FALSE)</f>
        <v>余家興</v>
      </c>
      <c r="L272" s="298" t="s">
        <v>1479</v>
      </c>
    </row>
    <row r="273" spans="1:13" ht="33" customHeight="1" x14ac:dyDescent="0.3">
      <c r="A273" s="298" t="s">
        <v>373</v>
      </c>
      <c r="B273" s="69" t="str">
        <f>VLOOKUP(A273,URS確認!$E:$F,2,FALSE)</f>
        <v>帳號授權檔查詢</v>
      </c>
      <c r="C273" s="298">
        <v>1</v>
      </c>
      <c r="D273" s="74" t="s">
        <v>1755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8" t="str">
        <f>VLOOKUP(A273,URS確認!E:I,5,FALSE)</f>
        <v>余家興</v>
      </c>
      <c r="L273" s="298" t="s">
        <v>1479</v>
      </c>
    </row>
    <row r="274" spans="1:13" x14ac:dyDescent="0.3">
      <c r="A274" s="298" t="s">
        <v>388</v>
      </c>
      <c r="B274" s="69" t="str">
        <f>VLOOKUP(A274,URS確認!$E:$F,2,FALSE)</f>
        <v xml:space="preserve">暫收款退還               </v>
      </c>
      <c r="C274" s="298">
        <v>1</v>
      </c>
      <c r="D274" s="147" t="s">
        <v>1756</v>
      </c>
      <c r="E274" s="71">
        <v>44452</v>
      </c>
      <c r="F274" s="71">
        <v>44467</v>
      </c>
      <c r="G274" s="71">
        <v>44467</v>
      </c>
      <c r="H274" s="71">
        <v>44487</v>
      </c>
      <c r="I274" s="298" t="str">
        <f>VLOOKUP(A274,URS確認!E:I,5,FALSE)</f>
        <v>余家興</v>
      </c>
      <c r="L274" s="298" t="s">
        <v>1479</v>
      </c>
    </row>
    <row r="275" spans="1:13" x14ac:dyDescent="0.3">
      <c r="A275" s="298" t="s">
        <v>388</v>
      </c>
      <c r="B275" s="69" t="str">
        <f>VLOOKUP(A275,URS確認!$E:$F,2,FALSE)</f>
        <v xml:space="preserve">暫收款退還               </v>
      </c>
      <c r="C275" s="298">
        <v>2</v>
      </c>
      <c r="D275" s="74" t="s">
        <v>1757</v>
      </c>
      <c r="E275" s="71">
        <v>44452</v>
      </c>
      <c r="F275" s="71">
        <v>44461</v>
      </c>
      <c r="G275" s="71">
        <v>44461</v>
      </c>
      <c r="H275" s="71">
        <v>44487</v>
      </c>
      <c r="I275" s="298" t="str">
        <f>VLOOKUP(A275,URS確認!E:I,5,FALSE)</f>
        <v>余家興</v>
      </c>
      <c r="L275" s="298" t="s">
        <v>1479</v>
      </c>
    </row>
    <row r="276" spans="1:13" ht="33" customHeight="1" x14ac:dyDescent="0.3">
      <c r="A276" s="298" t="s">
        <v>401</v>
      </c>
      <c r="B276" s="69" t="str">
        <f>VLOOKUP(A276,URS確認!$E:$F,2,FALSE)</f>
        <v>業務關帳作業</v>
      </c>
      <c r="C276" s="298">
        <v>1</v>
      </c>
      <c r="D276" s="148" t="s">
        <v>1758</v>
      </c>
      <c r="E276" s="71">
        <v>44452</v>
      </c>
      <c r="F276" s="71">
        <v>44466</v>
      </c>
      <c r="G276" s="71">
        <v>44466</v>
      </c>
      <c r="H276" s="71">
        <v>44466</v>
      </c>
      <c r="I276" s="298" t="str">
        <f>VLOOKUP(A276,URS確認!E:I,5,FALSE)</f>
        <v>楊智誠</v>
      </c>
      <c r="L276" s="298" t="s">
        <v>1479</v>
      </c>
    </row>
    <row r="277" spans="1:13" x14ac:dyDescent="0.3">
      <c r="A277" s="298" t="s">
        <v>401</v>
      </c>
      <c r="B277" s="69" t="str">
        <f>VLOOKUP(A277,URS確認!$E:$F,2,FALSE)</f>
        <v>業務關帳作業</v>
      </c>
      <c r="C277" s="298">
        <v>2</v>
      </c>
      <c r="D277" s="147" t="s">
        <v>1759</v>
      </c>
      <c r="E277" s="71">
        <v>44452</v>
      </c>
      <c r="F277" s="71">
        <v>44466</v>
      </c>
      <c r="G277" s="71">
        <v>44466</v>
      </c>
      <c r="H277" s="71">
        <v>44466</v>
      </c>
      <c r="I277" s="298" t="str">
        <f>VLOOKUP(A277,URS確認!E:I,5,FALSE)</f>
        <v>楊智誠</v>
      </c>
      <c r="L277" s="298" t="s">
        <v>1479</v>
      </c>
    </row>
    <row r="278" spans="1:13" x14ac:dyDescent="0.3">
      <c r="A278" s="298" t="s">
        <v>408</v>
      </c>
      <c r="B278" s="69" t="str">
        <f>VLOOKUP(A278,URS確認!$E:$F,2,FALSE)</f>
        <v xml:space="preserve">暫收支票明細資料查詢     </v>
      </c>
      <c r="C278" s="298">
        <v>1</v>
      </c>
      <c r="D278" s="74" t="s">
        <v>1760</v>
      </c>
      <c r="E278" s="71">
        <v>44452</v>
      </c>
      <c r="F278" s="71">
        <v>44470</v>
      </c>
      <c r="G278" s="71">
        <v>44470</v>
      </c>
      <c r="H278" s="71">
        <v>44487</v>
      </c>
      <c r="I278" s="298" t="str">
        <f>VLOOKUP(A278,URS確認!E:I,5,FALSE)</f>
        <v>余家興</v>
      </c>
      <c r="L278" s="298" t="s">
        <v>1479</v>
      </c>
    </row>
    <row r="279" spans="1:13" ht="33" customHeight="1" x14ac:dyDescent="0.3">
      <c r="A279" s="298" t="s">
        <v>408</v>
      </c>
      <c r="B279" s="69" t="str">
        <f>VLOOKUP(A279,URS確認!$E:$F,2,FALSE)</f>
        <v xml:space="preserve">暫收支票明細資料查詢     </v>
      </c>
      <c r="C279" s="298">
        <v>2</v>
      </c>
      <c r="D279" s="74" t="s">
        <v>1761</v>
      </c>
      <c r="E279" s="71">
        <v>44452</v>
      </c>
      <c r="F279" s="71">
        <v>44470</v>
      </c>
      <c r="G279" s="71">
        <v>44470</v>
      </c>
      <c r="H279" s="71">
        <v>44487</v>
      </c>
      <c r="I279" s="298" t="str">
        <f>VLOOKUP(A279,URS確認!E:I,5,FALSE)</f>
        <v>余家興</v>
      </c>
      <c r="M279" s="298" t="s">
        <v>1495</v>
      </c>
    </row>
    <row r="280" spans="1:13" x14ac:dyDescent="0.3">
      <c r="A280" s="298" t="s">
        <v>1411</v>
      </c>
      <c r="B280" s="69" t="e">
        <f>VLOOKUP(A280,URS確認!$E:$F,2,FALSE)</f>
        <v>#N/A</v>
      </c>
      <c r="C280" s="298">
        <v>1</v>
      </c>
      <c r="D280" s="74" t="s">
        <v>1762</v>
      </c>
      <c r="E280" s="71">
        <v>44452</v>
      </c>
      <c r="F280" s="71">
        <v>44470</v>
      </c>
      <c r="G280" s="71">
        <v>44470</v>
      </c>
      <c r="H280" s="71">
        <v>44487</v>
      </c>
      <c r="I280" s="298" t="e">
        <f>VLOOKUP(A280,URS確認!E:I,5,FALSE)</f>
        <v>#N/A</v>
      </c>
      <c r="L280" s="298" t="s">
        <v>1479</v>
      </c>
    </row>
    <row r="281" spans="1:13" ht="33" customHeight="1" x14ac:dyDescent="0.3">
      <c r="A281" s="298" t="s">
        <v>411</v>
      </c>
      <c r="B281" s="69" t="str">
        <f>VLOOKUP(A281,URS確認!$E:$F,2,FALSE)</f>
        <v>支票明細資料查詢-全部</v>
      </c>
      <c r="C281" s="298">
        <v>1</v>
      </c>
      <c r="D281" s="74" t="s">
        <v>1761</v>
      </c>
      <c r="E281" s="71">
        <v>44452</v>
      </c>
      <c r="F281" s="71">
        <v>44470</v>
      </c>
      <c r="G281" s="71">
        <v>44470</v>
      </c>
      <c r="H281" s="71">
        <v>44487</v>
      </c>
      <c r="I281" s="298" t="str">
        <f>VLOOKUP(A281,URS確認!E:I,5,FALSE)</f>
        <v>余家興</v>
      </c>
      <c r="M281" s="298" t="s">
        <v>1495</v>
      </c>
    </row>
    <row r="282" spans="1:13" x14ac:dyDescent="0.3">
      <c r="A282" s="298" t="s">
        <v>413</v>
      </c>
      <c r="B282" s="69" t="str">
        <f>VLOOKUP(A282,URS確認!$E:$F,2,FALSE)</f>
        <v xml:space="preserve">支票內容查詢             </v>
      </c>
      <c r="C282" s="298">
        <v>1</v>
      </c>
      <c r="D282" s="74" t="s">
        <v>1763</v>
      </c>
      <c r="E282" s="71">
        <v>44452</v>
      </c>
      <c r="F282" s="71">
        <v>44470</v>
      </c>
      <c r="G282" s="71">
        <v>44470</v>
      </c>
      <c r="H282" s="71">
        <v>44487</v>
      </c>
      <c r="I282" s="298" t="str">
        <f>VLOOKUP(A282,URS確認!E:I,5,FALSE)</f>
        <v>余家興</v>
      </c>
      <c r="M282" s="298" t="s">
        <v>1495</v>
      </c>
    </row>
    <row r="283" spans="1:13" ht="33" customHeight="1" x14ac:dyDescent="0.3">
      <c r="A283" s="298" t="s">
        <v>699</v>
      </c>
      <c r="B283" s="69" t="str">
        <f>VLOOKUP(A283,URS確認!$E:$F,2,FALSE)</f>
        <v>暫收款銷帳</v>
      </c>
      <c r="C283" s="298">
        <v>1</v>
      </c>
      <c r="D283" s="74" t="s">
        <v>1764</v>
      </c>
      <c r="E283" s="71">
        <v>44453</v>
      </c>
      <c r="F283" s="71">
        <v>44455</v>
      </c>
      <c r="G283" s="71">
        <v>44455</v>
      </c>
      <c r="H283" s="71">
        <v>44487</v>
      </c>
      <c r="I283" s="298" t="str">
        <f>VLOOKUP(A283,URS確認!E:I,5,FALSE)</f>
        <v>余家興</v>
      </c>
      <c r="M283" s="298" t="s">
        <v>1495</v>
      </c>
    </row>
    <row r="284" spans="1:13" ht="82.5" customHeight="1" x14ac:dyDescent="0.3">
      <c r="A284" s="298" t="s">
        <v>415</v>
      </c>
      <c r="B284" s="69" t="str">
        <f>VLOOKUP(A284,URS確認!$E:$F,2,FALSE)</f>
        <v>貸後契變手續費明細資料查詢(未入帳)</v>
      </c>
      <c r="C284" s="298">
        <v>1</v>
      </c>
      <c r="D284" s="74" t="s">
        <v>1765</v>
      </c>
      <c r="E284" s="71">
        <v>44453</v>
      </c>
      <c r="F284" s="71">
        <v>44455</v>
      </c>
      <c r="G284" s="71">
        <v>44455</v>
      </c>
      <c r="H284" s="71">
        <v>44461</v>
      </c>
      <c r="I284" s="298" t="str">
        <f>VLOOKUP(A284,URS確認!E:I,5,FALSE)</f>
        <v>陳昱衡</v>
      </c>
      <c r="L284" s="298" t="s">
        <v>1479</v>
      </c>
    </row>
    <row r="285" spans="1:13" x14ac:dyDescent="0.3">
      <c r="A285" s="298" t="s">
        <v>419</v>
      </c>
      <c r="B285" s="69" t="str">
        <f>VLOOKUP(A285,URS確認!$E:$F,2,FALSE)</f>
        <v xml:space="preserve">貸後契變手續費維護                      </v>
      </c>
      <c r="C285" s="298">
        <v>1</v>
      </c>
      <c r="D285" s="74" t="s">
        <v>1766</v>
      </c>
      <c r="E285" s="71">
        <v>44453</v>
      </c>
      <c r="F285" s="71">
        <v>44455</v>
      </c>
      <c r="G285" s="71">
        <v>44455</v>
      </c>
      <c r="H285" s="71">
        <v>44461</v>
      </c>
      <c r="I285" s="298" t="str">
        <f>VLOOKUP(A285,URS確認!E:I,5,FALSE)</f>
        <v>陳昱衡</v>
      </c>
      <c r="L285" s="298" t="s">
        <v>1479</v>
      </c>
    </row>
    <row r="286" spans="1:13" x14ac:dyDescent="0.3">
      <c r="A286" s="298" t="s">
        <v>419</v>
      </c>
      <c r="B286" s="69" t="str">
        <f>VLOOKUP(A286,URS確認!$E:$F,2,FALSE)</f>
        <v xml:space="preserve">貸後契變手續費維護                      </v>
      </c>
      <c r="C286" s="298">
        <v>2</v>
      </c>
      <c r="D286" s="74" t="s">
        <v>1767</v>
      </c>
      <c r="E286" s="71">
        <v>44453</v>
      </c>
      <c r="F286" s="71">
        <v>44455</v>
      </c>
      <c r="G286" s="71">
        <v>44455</v>
      </c>
      <c r="H286" s="71">
        <v>44461</v>
      </c>
      <c r="I286" s="298" t="str">
        <f>VLOOKUP(A286,URS確認!E:I,5,FALSE)</f>
        <v>陳昱衡</v>
      </c>
      <c r="L286" s="298" t="s">
        <v>1479</v>
      </c>
    </row>
    <row r="287" spans="1:13" x14ac:dyDescent="0.3">
      <c r="A287" s="298" t="s">
        <v>419</v>
      </c>
      <c r="B287" s="69" t="str">
        <f>VLOOKUP(A287,URS確認!$E:$F,2,FALSE)</f>
        <v xml:space="preserve">貸後契變手續費維護                      </v>
      </c>
      <c r="C287" s="298">
        <v>3</v>
      </c>
      <c r="D287" s="74" t="s">
        <v>1768</v>
      </c>
      <c r="E287" s="71">
        <v>44453</v>
      </c>
      <c r="F287" s="71">
        <v>44455</v>
      </c>
      <c r="G287" s="71">
        <v>44455</v>
      </c>
      <c r="H287" s="71">
        <v>44461</v>
      </c>
      <c r="I287" s="298" t="str">
        <f>VLOOKUP(A287,URS確認!E:I,5,FALSE)</f>
        <v>陳昱衡</v>
      </c>
      <c r="L287" s="298" t="s">
        <v>1479</v>
      </c>
    </row>
    <row r="288" spans="1:13" x14ac:dyDescent="0.3">
      <c r="A288" s="298" t="s">
        <v>419</v>
      </c>
      <c r="B288" s="69" t="str">
        <f>VLOOKUP(A288,URS確認!$E:$F,2,FALSE)</f>
        <v xml:space="preserve">貸後契變手續費維護                      </v>
      </c>
      <c r="C288" s="298">
        <v>4</v>
      </c>
      <c r="D288" s="74" t="s">
        <v>1769</v>
      </c>
      <c r="E288" s="71">
        <v>44453</v>
      </c>
      <c r="F288" s="71">
        <v>44463</v>
      </c>
      <c r="G288" s="71">
        <v>44463</v>
      </c>
      <c r="H288" s="71">
        <v>44463</v>
      </c>
      <c r="I288" s="298" t="str">
        <f>VLOOKUP(A288,URS確認!E:I,5,FALSE)</f>
        <v>陳昱衡</v>
      </c>
      <c r="L288" s="298" t="s">
        <v>1479</v>
      </c>
    </row>
    <row r="289" spans="1:13" x14ac:dyDescent="0.3">
      <c r="A289" s="298" t="s">
        <v>422</v>
      </c>
      <c r="B289" s="69" t="str">
        <f>VLOOKUP(A289,URS確認!$E:$F,2,FALSE)</f>
        <v>貸後契變手續費明細資料查詢</v>
      </c>
      <c r="C289" s="298">
        <v>1</v>
      </c>
      <c r="D289" s="74" t="s">
        <v>1770</v>
      </c>
      <c r="E289" s="71">
        <v>44453</v>
      </c>
      <c r="F289" s="71">
        <v>44455</v>
      </c>
      <c r="G289" s="71">
        <v>44455</v>
      </c>
      <c r="H289" s="71">
        <v>44461</v>
      </c>
      <c r="I289" s="298" t="str">
        <f>VLOOKUP(A289,URS確認!E:I,5,FALSE)</f>
        <v>陳昱衡</v>
      </c>
      <c r="L289" s="298" t="s">
        <v>1479</v>
      </c>
    </row>
    <row r="290" spans="1:13" x14ac:dyDescent="0.3">
      <c r="A290" s="298" t="s">
        <v>785</v>
      </c>
      <c r="B290" s="69" t="str">
        <f>VLOOKUP(A290,URS確認!$E:$F,2,FALSE)</f>
        <v>銷帳歷史明細查詢</v>
      </c>
      <c r="C290" s="298">
        <v>1</v>
      </c>
      <c r="D290" s="74" t="s">
        <v>1771</v>
      </c>
      <c r="E290" s="71">
        <v>44453</v>
      </c>
      <c r="F290" s="71">
        <v>44466</v>
      </c>
      <c r="G290" s="71">
        <v>44466</v>
      </c>
      <c r="H290" s="71">
        <v>44466</v>
      </c>
      <c r="I290" s="298" t="str">
        <f>VLOOKUP(A290,URS確認!E:I,5,FALSE)</f>
        <v>楊智誠</v>
      </c>
      <c r="L290" s="298" t="s">
        <v>1479</v>
      </c>
    </row>
    <row r="291" spans="1:13" ht="33" customHeight="1" x14ac:dyDescent="0.3">
      <c r="A291" s="298" t="s">
        <v>430</v>
      </c>
      <c r="B291" s="69" t="str">
        <f>VLOOKUP(A291,URS確認!$E:$F,2,FALSE)</f>
        <v xml:space="preserve">火險到期檔產生作業         </v>
      </c>
      <c r="C291" s="298">
        <v>1</v>
      </c>
      <c r="D291" s="74" t="s">
        <v>1772</v>
      </c>
      <c r="E291" s="71">
        <v>44455</v>
      </c>
      <c r="F291" s="71">
        <v>44504</v>
      </c>
      <c r="G291" s="71">
        <v>44504</v>
      </c>
      <c r="H291" s="71">
        <v>44504</v>
      </c>
      <c r="I291" s="298" t="s">
        <v>179</v>
      </c>
      <c r="L291" s="298" t="s">
        <v>1479</v>
      </c>
    </row>
    <row r="292" spans="1:13" x14ac:dyDescent="0.3">
      <c r="A292" s="298" t="s">
        <v>430</v>
      </c>
      <c r="B292" s="69" t="str">
        <f>VLOOKUP(A292,URS確認!$E:$F,2,FALSE)</f>
        <v xml:space="preserve">火險到期檔產生作業         </v>
      </c>
      <c r="C292" s="298">
        <v>2</v>
      </c>
      <c r="D292" s="69" t="s">
        <v>1773</v>
      </c>
      <c r="E292" s="71">
        <v>44455</v>
      </c>
      <c r="F292" s="71">
        <v>44504</v>
      </c>
      <c r="G292" s="71">
        <v>44504</v>
      </c>
      <c r="H292" s="71">
        <v>44504</v>
      </c>
      <c r="I292" s="298" t="s">
        <v>179</v>
      </c>
      <c r="L292" s="298" t="s">
        <v>1479</v>
      </c>
    </row>
    <row r="293" spans="1:13" ht="33" customHeight="1" x14ac:dyDescent="0.3">
      <c r="A293" s="298" t="s">
        <v>434</v>
      </c>
      <c r="B293" s="69" t="str">
        <f>VLOOKUP(A293,URS確認!$E:$F,2,FALSE)</f>
        <v xml:space="preserve">續約保單資料維護           </v>
      </c>
      <c r="C293" s="298">
        <v>1</v>
      </c>
      <c r="D293" s="74" t="s">
        <v>1774</v>
      </c>
      <c r="E293" s="71">
        <v>44455</v>
      </c>
      <c r="F293" s="71">
        <v>44504</v>
      </c>
      <c r="G293" s="71">
        <v>44504</v>
      </c>
      <c r="H293" s="71">
        <v>44504</v>
      </c>
      <c r="I293" s="298" t="s">
        <v>179</v>
      </c>
      <c r="L293" s="298" t="s">
        <v>1479</v>
      </c>
    </row>
    <row r="294" spans="1:13" ht="66" customHeight="1" x14ac:dyDescent="0.3">
      <c r="A294" s="298" t="s">
        <v>434</v>
      </c>
      <c r="B294" s="69" t="str">
        <f>VLOOKUP(A294,URS確認!$E:$F,2,FALSE)</f>
        <v xml:space="preserve">續約保單資料維護           </v>
      </c>
      <c r="C294" s="298">
        <v>2</v>
      </c>
      <c r="D294" s="74" t="s">
        <v>1775</v>
      </c>
      <c r="E294" s="71">
        <v>44455</v>
      </c>
      <c r="F294" s="71">
        <v>44504</v>
      </c>
      <c r="G294" s="71">
        <v>44504</v>
      </c>
      <c r="H294" s="71">
        <v>44504</v>
      </c>
      <c r="I294" s="298" t="s">
        <v>179</v>
      </c>
      <c r="L294" s="298" t="s">
        <v>1479</v>
      </c>
    </row>
    <row r="295" spans="1:13" x14ac:dyDescent="0.3">
      <c r="A295" s="298" t="s">
        <v>434</v>
      </c>
      <c r="B295" s="69" t="str">
        <f>VLOOKUP(A295,URS確認!$E:$F,2,FALSE)</f>
        <v xml:space="preserve">續約保單資料維護           </v>
      </c>
      <c r="C295" s="298">
        <v>3</v>
      </c>
      <c r="D295" s="69" t="s">
        <v>1776</v>
      </c>
      <c r="E295" s="71">
        <v>44455</v>
      </c>
      <c r="F295" s="71">
        <v>44504</v>
      </c>
      <c r="G295" s="71">
        <v>44504</v>
      </c>
      <c r="H295" s="71">
        <v>44504</v>
      </c>
      <c r="I295" s="298" t="s">
        <v>179</v>
      </c>
      <c r="L295" s="298" t="s">
        <v>1479</v>
      </c>
    </row>
    <row r="296" spans="1:13" ht="49.5" customHeight="1" x14ac:dyDescent="0.3">
      <c r="A296" s="298" t="s">
        <v>432</v>
      </c>
      <c r="B296" s="69" t="str">
        <f>VLOOKUP(A296,URS確認!$E:$F,2,FALSE)</f>
        <v xml:space="preserve">火險詢價作業               </v>
      </c>
      <c r="C296" s="298">
        <v>1</v>
      </c>
      <c r="D296" s="74" t="s">
        <v>1777</v>
      </c>
      <c r="E296" s="71">
        <v>44455</v>
      </c>
      <c r="F296" s="71">
        <v>44469</v>
      </c>
      <c r="G296" s="71">
        <v>44469</v>
      </c>
      <c r="H296" s="71">
        <v>44469</v>
      </c>
      <c r="I296" s="298" t="s">
        <v>179</v>
      </c>
      <c r="M296" s="298" t="s">
        <v>1495</v>
      </c>
    </row>
    <row r="297" spans="1:13" ht="49.5" customHeight="1" x14ac:dyDescent="0.3">
      <c r="A297" s="298" t="s">
        <v>438</v>
      </c>
      <c r="B297" s="69" t="str">
        <f>VLOOKUP(A297,URS確認!$E:$F,2,FALSE)</f>
        <v xml:space="preserve">火險通知作業               </v>
      </c>
      <c r="C297" s="298">
        <v>1</v>
      </c>
      <c r="D297" s="74" t="s">
        <v>1778</v>
      </c>
      <c r="E297" s="71">
        <v>44455</v>
      </c>
      <c r="F297" s="71">
        <v>44469</v>
      </c>
      <c r="G297" s="71">
        <v>44469</v>
      </c>
      <c r="H297" s="71">
        <v>44469</v>
      </c>
      <c r="I297" s="298" t="s">
        <v>179</v>
      </c>
      <c r="M297" s="298" t="s">
        <v>1495</v>
      </c>
    </row>
    <row r="298" spans="1:13" x14ac:dyDescent="0.3">
      <c r="A298" s="298" t="s">
        <v>438</v>
      </c>
      <c r="B298" s="69" t="str">
        <f>VLOOKUP(A298,URS確認!$E:$F,2,FALSE)</f>
        <v xml:space="preserve">火險通知作業               </v>
      </c>
      <c r="C298" s="298">
        <v>2</v>
      </c>
      <c r="D298" s="69" t="s">
        <v>1779</v>
      </c>
      <c r="E298" s="71">
        <v>44455</v>
      </c>
      <c r="F298" s="71">
        <v>44504</v>
      </c>
      <c r="G298" s="71">
        <v>44504</v>
      </c>
      <c r="H298" s="71">
        <v>44504</v>
      </c>
      <c r="I298" s="298" t="s">
        <v>179</v>
      </c>
      <c r="L298" s="298" t="s">
        <v>1479</v>
      </c>
    </row>
    <row r="299" spans="1:13" x14ac:dyDescent="0.3">
      <c r="B299" s="69" t="s">
        <v>1780</v>
      </c>
      <c r="C299" s="298">
        <v>1</v>
      </c>
      <c r="D299" s="74" t="s">
        <v>1781</v>
      </c>
      <c r="E299" s="71">
        <v>44455</v>
      </c>
      <c r="F299" s="71">
        <v>44512</v>
      </c>
      <c r="G299" s="71">
        <v>44512</v>
      </c>
      <c r="H299" s="71">
        <v>44512</v>
      </c>
      <c r="I299" s="298" t="s">
        <v>179</v>
      </c>
      <c r="M299" s="298" t="s">
        <v>1495</v>
      </c>
    </row>
    <row r="300" spans="1:13" ht="33" customHeight="1" x14ac:dyDescent="0.3">
      <c r="B300" s="69" t="s">
        <v>1782</v>
      </c>
      <c r="C300" s="298">
        <v>1</v>
      </c>
      <c r="D300" s="74" t="s">
        <v>1783</v>
      </c>
      <c r="E300" s="71">
        <v>44455</v>
      </c>
      <c r="F300" s="71">
        <v>44469</v>
      </c>
      <c r="G300" s="71">
        <v>44469</v>
      </c>
      <c r="H300" s="71">
        <v>44469</v>
      </c>
      <c r="I300" s="298" t="s">
        <v>179</v>
      </c>
      <c r="M300" s="298" t="s">
        <v>1495</v>
      </c>
    </row>
    <row r="301" spans="1:13" ht="33" customHeight="1" x14ac:dyDescent="0.3">
      <c r="A301" s="298" t="s">
        <v>452</v>
      </c>
      <c r="B301" s="69" t="str">
        <f>VLOOKUP(A301,URS確認!$E:$F,2,FALSE)</f>
        <v xml:space="preserve">產出銀行扣帳檔                       </v>
      </c>
      <c r="C301" s="298">
        <v>1</v>
      </c>
      <c r="D301" s="147" t="s">
        <v>1784</v>
      </c>
      <c r="E301" s="71">
        <v>44456</v>
      </c>
      <c r="F301" s="71">
        <v>44466</v>
      </c>
      <c r="G301" s="71">
        <v>44466</v>
      </c>
      <c r="H301" s="71">
        <v>44466</v>
      </c>
      <c r="I301" s="298" t="s">
        <v>179</v>
      </c>
      <c r="L301" s="298" t="s">
        <v>1479</v>
      </c>
    </row>
    <row r="302" spans="1:13" ht="66" customHeight="1" x14ac:dyDescent="0.3">
      <c r="A302" s="298" t="s">
        <v>452</v>
      </c>
      <c r="B302" s="69" t="str">
        <f>VLOOKUP(A302,URS確認!$E:$F,2,FALSE)</f>
        <v xml:space="preserve">產出銀行扣帳檔                       </v>
      </c>
      <c r="C302" s="298">
        <v>2</v>
      </c>
      <c r="D302" s="74" t="s">
        <v>1785</v>
      </c>
      <c r="E302" s="71">
        <v>44456</v>
      </c>
      <c r="F302" s="71">
        <v>44469</v>
      </c>
      <c r="G302" s="71">
        <v>44469</v>
      </c>
      <c r="H302" s="71">
        <v>44469</v>
      </c>
      <c r="I302" s="298" t="s">
        <v>179</v>
      </c>
      <c r="L302" s="298" t="s">
        <v>1479</v>
      </c>
    </row>
    <row r="303" spans="1:13" x14ac:dyDescent="0.3">
      <c r="A303" s="298" t="s">
        <v>452</v>
      </c>
      <c r="B303" s="69" t="str">
        <f>VLOOKUP(A303,URS確認!$E:$F,2,FALSE)</f>
        <v xml:space="preserve">產出銀行扣帳檔                       </v>
      </c>
      <c r="C303" s="298">
        <v>3</v>
      </c>
      <c r="D303" s="69" t="s">
        <v>1786</v>
      </c>
      <c r="E303" s="71">
        <v>44456</v>
      </c>
      <c r="F303" s="71">
        <v>44469</v>
      </c>
      <c r="G303" s="71">
        <v>44469</v>
      </c>
      <c r="H303" s="71">
        <v>44469</v>
      </c>
      <c r="I303" s="298" t="s">
        <v>179</v>
      </c>
      <c r="M303" s="298" t="s">
        <v>1495</v>
      </c>
    </row>
    <row r="304" spans="1:13" x14ac:dyDescent="0.3">
      <c r="A304" s="298" t="s">
        <v>458</v>
      </c>
      <c r="B304" s="69" t="str">
        <f>VLOOKUP(A304,URS確認!$E:$F,2,FALSE)</f>
        <v xml:space="preserve">銀行扣款檔資料維護                   </v>
      </c>
      <c r="C304" s="298">
        <v>1</v>
      </c>
      <c r="D304" s="74" t="s">
        <v>1786</v>
      </c>
      <c r="E304" s="71">
        <v>44456</v>
      </c>
      <c r="F304" s="71">
        <v>44469</v>
      </c>
      <c r="G304" s="71">
        <v>44469</v>
      </c>
      <c r="H304" s="71">
        <v>44469</v>
      </c>
      <c r="I304" s="298" t="s">
        <v>179</v>
      </c>
      <c r="M304" s="298" t="s">
        <v>1495</v>
      </c>
    </row>
    <row r="305" spans="1:16" ht="33" customHeight="1" x14ac:dyDescent="0.3">
      <c r="A305" s="298" t="s">
        <v>458</v>
      </c>
      <c r="B305" s="69" t="str">
        <f>VLOOKUP(A305,URS確認!$E:$F,2,FALSE)</f>
        <v xml:space="preserve">銀行扣款檔資料維護                   </v>
      </c>
      <c r="C305" s="298">
        <v>2</v>
      </c>
      <c r="D305" s="74" t="s">
        <v>1787</v>
      </c>
      <c r="E305" s="71">
        <v>44456</v>
      </c>
      <c r="F305" s="71">
        <v>44469</v>
      </c>
      <c r="G305" s="71">
        <v>44469</v>
      </c>
      <c r="H305" s="71">
        <v>44469</v>
      </c>
      <c r="I305" s="298" t="s">
        <v>179</v>
      </c>
      <c r="M305" s="298" t="s">
        <v>1495</v>
      </c>
    </row>
    <row r="306" spans="1:16" ht="33" customHeight="1" x14ac:dyDescent="0.3">
      <c r="A306" s="298" t="s">
        <v>460</v>
      </c>
      <c r="B306" s="69" t="str">
        <f>VLOOKUP(A306,URS確認!$E:$F,2,FALSE)</f>
        <v xml:space="preserve">銀行扣款(媒體製作)                   </v>
      </c>
      <c r="C306" s="298">
        <v>1</v>
      </c>
      <c r="D306" s="74" t="s">
        <v>1784</v>
      </c>
      <c r="E306" s="71">
        <v>44456</v>
      </c>
      <c r="F306" s="71">
        <v>44466</v>
      </c>
      <c r="G306" s="71">
        <v>44466</v>
      </c>
      <c r="H306" s="71">
        <v>44466</v>
      </c>
      <c r="I306" s="298" t="s">
        <v>179</v>
      </c>
      <c r="L306" s="298" t="s">
        <v>1479</v>
      </c>
    </row>
    <row r="307" spans="1:16" s="150" customFormat="1" ht="66" customHeight="1" x14ac:dyDescent="0.3">
      <c r="A307" s="149" t="s">
        <v>460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1788</v>
      </c>
      <c r="E307" s="151">
        <v>44456</v>
      </c>
      <c r="F307" s="71">
        <v>44469</v>
      </c>
      <c r="G307" s="71">
        <v>44469</v>
      </c>
      <c r="H307" s="71">
        <v>44469</v>
      </c>
      <c r="I307" s="298" t="s">
        <v>179</v>
      </c>
      <c r="J307" s="149"/>
      <c r="K307" s="149"/>
      <c r="L307" s="149"/>
      <c r="M307" s="298" t="s">
        <v>1495</v>
      </c>
      <c r="N307" s="149"/>
      <c r="O307" s="149"/>
      <c r="P307" s="149"/>
    </row>
    <row r="308" spans="1:16" ht="33" customHeight="1" x14ac:dyDescent="0.3">
      <c r="A308" s="298" t="s">
        <v>460</v>
      </c>
      <c r="B308" s="69" t="str">
        <f>VLOOKUP(A308,URS確認!$E:$F,2,FALSE)</f>
        <v xml:space="preserve">銀行扣款(媒體製作)                   </v>
      </c>
      <c r="C308" s="298">
        <v>3</v>
      </c>
      <c r="D308" s="74" t="s">
        <v>1789</v>
      </c>
      <c r="E308" s="71">
        <v>44456</v>
      </c>
      <c r="F308" s="71">
        <v>44512</v>
      </c>
      <c r="G308" s="71">
        <v>44509</v>
      </c>
      <c r="H308" s="71">
        <v>44509</v>
      </c>
      <c r="I308" s="298" t="s">
        <v>179</v>
      </c>
      <c r="L308" s="298" t="s">
        <v>1479</v>
      </c>
    </row>
    <row r="309" spans="1:16" x14ac:dyDescent="0.3">
      <c r="A309" s="298" t="s">
        <v>462</v>
      </c>
      <c r="B309" s="69" t="str">
        <f>VLOOKUP(A309,URS確認!$E:$F,2,FALSE)</f>
        <v>銀扣扣款前通知</v>
      </c>
      <c r="C309" s="298">
        <v>1</v>
      </c>
      <c r="D309" s="74" t="s">
        <v>1790</v>
      </c>
      <c r="E309" s="71">
        <v>44456</v>
      </c>
      <c r="F309" s="71">
        <v>44466</v>
      </c>
      <c r="G309" s="71">
        <v>44466</v>
      </c>
      <c r="H309" s="71">
        <v>44466</v>
      </c>
      <c r="I309" s="298" t="s">
        <v>179</v>
      </c>
      <c r="L309" s="298" t="s">
        <v>1479</v>
      </c>
    </row>
    <row r="310" spans="1:16" ht="33" customHeight="1" x14ac:dyDescent="0.3">
      <c r="A310" s="298" t="s">
        <v>455</v>
      </c>
      <c r="B310" s="69" t="str">
        <f>VLOOKUP(A310,URS確認!$E:$F,2,FALSE)</f>
        <v xml:space="preserve">銀行扣款檔資料查詢                   </v>
      </c>
      <c r="C310" s="298">
        <v>1</v>
      </c>
      <c r="D310" s="74" t="s">
        <v>1791</v>
      </c>
      <c r="E310" s="71">
        <v>44456</v>
      </c>
      <c r="F310" s="71">
        <v>44466</v>
      </c>
      <c r="G310" s="71">
        <v>44466</v>
      </c>
      <c r="H310" s="71">
        <v>44466</v>
      </c>
      <c r="I310" s="298" t="s">
        <v>179</v>
      </c>
      <c r="L310" s="298" t="s">
        <v>1479</v>
      </c>
    </row>
    <row r="311" spans="1:16" x14ac:dyDescent="0.3">
      <c r="A311" s="298" t="s">
        <v>455</v>
      </c>
      <c r="B311" s="69" t="str">
        <f>VLOOKUP(A311,URS確認!$E:$F,2,FALSE)</f>
        <v xml:space="preserve">銀行扣款檔資料查詢                   </v>
      </c>
      <c r="C311" s="298">
        <v>2</v>
      </c>
      <c r="D311" s="74" t="s">
        <v>1792</v>
      </c>
      <c r="E311" s="71">
        <v>44456</v>
      </c>
      <c r="F311" s="71">
        <v>44466</v>
      </c>
      <c r="G311" s="71">
        <v>44466</v>
      </c>
      <c r="H311" s="71">
        <v>44466</v>
      </c>
      <c r="I311" s="298" t="s">
        <v>179</v>
      </c>
      <c r="L311" s="298" t="s">
        <v>1479</v>
      </c>
    </row>
    <row r="312" spans="1:16" x14ac:dyDescent="0.3">
      <c r="A312" s="298" t="s">
        <v>455</v>
      </c>
      <c r="B312" s="69" t="str">
        <f>VLOOKUP(A312,URS確認!$E:$F,2,FALSE)</f>
        <v xml:space="preserve">銀行扣款檔資料查詢                   </v>
      </c>
      <c r="C312" s="298">
        <v>3</v>
      </c>
      <c r="D312" s="74" t="s">
        <v>1793</v>
      </c>
      <c r="E312" s="71">
        <v>44456</v>
      </c>
      <c r="F312" s="71">
        <v>44466</v>
      </c>
      <c r="G312" s="71">
        <v>44466</v>
      </c>
      <c r="H312" s="71">
        <v>44466</v>
      </c>
      <c r="I312" s="298" t="s">
        <v>179</v>
      </c>
      <c r="L312" s="298" t="s">
        <v>1479</v>
      </c>
    </row>
    <row r="313" spans="1:16" ht="33" customHeight="1" x14ac:dyDescent="0.3">
      <c r="A313" s="298" t="s">
        <v>455</v>
      </c>
      <c r="B313" s="69" t="str">
        <f>VLOOKUP(A313,URS確認!$E:$F,2,FALSE)</f>
        <v xml:space="preserve">銀行扣款檔資料查詢                   </v>
      </c>
      <c r="C313" s="298">
        <v>4</v>
      </c>
      <c r="D313" s="74" t="s">
        <v>1794</v>
      </c>
      <c r="E313" s="71">
        <v>44456</v>
      </c>
      <c r="F313" s="71">
        <v>44512</v>
      </c>
      <c r="G313" s="71">
        <v>44512</v>
      </c>
      <c r="H313" s="71">
        <v>44512</v>
      </c>
      <c r="I313" s="298" t="s">
        <v>179</v>
      </c>
      <c r="M313" s="298" t="s">
        <v>1502</v>
      </c>
    </row>
    <row r="314" spans="1:16" ht="99" customHeight="1" x14ac:dyDescent="0.3">
      <c r="A314" s="298" t="s">
        <v>455</v>
      </c>
      <c r="B314" s="69" t="str">
        <f>VLOOKUP(A314,URS確認!$E:$F,2,FALSE)</f>
        <v xml:space="preserve">銀行扣款檔資料查詢                   </v>
      </c>
      <c r="C314" s="298">
        <v>5</v>
      </c>
      <c r="D314" s="74" t="s">
        <v>1795</v>
      </c>
      <c r="E314" s="71">
        <v>44456</v>
      </c>
      <c r="F314" s="71">
        <v>44466</v>
      </c>
      <c r="G314" s="71">
        <v>44466</v>
      </c>
      <c r="H314" s="71">
        <v>44466</v>
      </c>
      <c r="I314" s="298" t="s">
        <v>179</v>
      </c>
      <c r="L314" s="298" t="s">
        <v>1479</v>
      </c>
    </row>
    <row r="315" spans="1:16" x14ac:dyDescent="0.3">
      <c r="B315" s="69" t="s">
        <v>1796</v>
      </c>
      <c r="C315" s="298">
        <v>1</v>
      </c>
      <c r="D315" s="74" t="s">
        <v>1797</v>
      </c>
      <c r="E315" s="71">
        <v>44456</v>
      </c>
      <c r="F315" s="71">
        <v>44469</v>
      </c>
      <c r="G315" s="71">
        <v>44469</v>
      </c>
      <c r="H315" s="71">
        <v>44469</v>
      </c>
      <c r="I315" s="298" t="s">
        <v>179</v>
      </c>
      <c r="M315" s="298" t="s">
        <v>1502</v>
      </c>
    </row>
    <row r="316" spans="1:16" ht="33" customHeight="1" x14ac:dyDescent="0.3">
      <c r="B316" s="69" t="s">
        <v>1796</v>
      </c>
      <c r="C316" s="298">
        <v>2</v>
      </c>
      <c r="D316" s="74" t="s">
        <v>1798</v>
      </c>
      <c r="E316" s="71">
        <v>44456</v>
      </c>
      <c r="F316" s="71">
        <v>44469</v>
      </c>
      <c r="G316" s="71">
        <v>44469</v>
      </c>
      <c r="H316" s="71">
        <v>44469</v>
      </c>
      <c r="I316" s="298" t="s">
        <v>179</v>
      </c>
      <c r="M316" s="298" t="s">
        <v>1502</v>
      </c>
    </row>
    <row r="317" spans="1:16" x14ac:dyDescent="0.3">
      <c r="A317" s="298" t="s">
        <v>1799</v>
      </c>
      <c r="B317" s="69" t="s">
        <v>1782</v>
      </c>
      <c r="C317" s="298">
        <v>1</v>
      </c>
      <c r="D317" s="74" t="s">
        <v>1800</v>
      </c>
      <c r="E317" s="71">
        <v>44456</v>
      </c>
      <c r="F317" s="71">
        <v>44466</v>
      </c>
      <c r="G317" s="71">
        <v>44466</v>
      </c>
      <c r="H317" s="71">
        <v>44466</v>
      </c>
      <c r="I317" s="298" t="s">
        <v>179</v>
      </c>
      <c r="L317" s="298" t="s">
        <v>1479</v>
      </c>
    </row>
    <row r="318" spans="1:16" x14ac:dyDescent="0.3">
      <c r="A318" s="298" t="s">
        <v>1799</v>
      </c>
      <c r="B318" s="69" t="s">
        <v>1782</v>
      </c>
      <c r="C318" s="298">
        <v>2</v>
      </c>
      <c r="D318" s="74" t="s">
        <v>1801</v>
      </c>
      <c r="E318" s="71">
        <v>44456</v>
      </c>
      <c r="F318" s="71">
        <v>44512</v>
      </c>
      <c r="G318" s="71">
        <v>44512</v>
      </c>
      <c r="H318" s="71">
        <v>44512</v>
      </c>
      <c r="I318" s="298" t="s">
        <v>179</v>
      </c>
      <c r="M318" s="298" t="s">
        <v>1502</v>
      </c>
    </row>
    <row r="319" spans="1:16" x14ac:dyDescent="0.3">
      <c r="A319" s="298" t="s">
        <v>472</v>
      </c>
      <c r="B319" s="69" t="str">
        <f>VLOOKUP(A319,URS確認!$E:$F,2,FALSE)</f>
        <v>債權維護</v>
      </c>
      <c r="C319" s="298">
        <v>1</v>
      </c>
      <c r="D319" s="74" t="s">
        <v>1802</v>
      </c>
      <c r="E319" s="71">
        <v>44462</v>
      </c>
      <c r="F319" s="71">
        <v>44467</v>
      </c>
      <c r="G319" s="71">
        <v>44467</v>
      </c>
      <c r="H319" s="71">
        <v>44473</v>
      </c>
      <c r="I319" s="298" t="str">
        <f>VLOOKUP(A319,URS確認!E:I,5,FALSE)</f>
        <v>蘇曉玲</v>
      </c>
      <c r="L319" s="298" t="s">
        <v>1479</v>
      </c>
    </row>
    <row r="320" spans="1:16" ht="34" customHeight="1" x14ac:dyDescent="0.3">
      <c r="A320" s="298" t="s">
        <v>472</v>
      </c>
      <c r="B320" s="69" t="str">
        <f>VLOOKUP(A320,URS確認!$E:$F,2,FALSE)</f>
        <v>債權維護</v>
      </c>
      <c r="C320" s="298">
        <v>2</v>
      </c>
      <c r="D320" s="74" t="s">
        <v>1803</v>
      </c>
      <c r="E320" s="71">
        <v>44462</v>
      </c>
      <c r="F320" s="71">
        <v>44468</v>
      </c>
      <c r="G320" s="71">
        <v>44468</v>
      </c>
      <c r="H320" s="71">
        <v>44473</v>
      </c>
      <c r="I320" s="298" t="str">
        <f>VLOOKUP(A320,URS確認!E:I,5,FALSE)</f>
        <v>蘇曉玲</v>
      </c>
      <c r="L320" s="298" t="s">
        <v>1479</v>
      </c>
    </row>
    <row r="321" spans="1:13" x14ac:dyDescent="0.3">
      <c r="A321" s="298" t="s">
        <v>472</v>
      </c>
      <c r="B321" s="69" t="str">
        <f>VLOOKUP(A321,URS確認!$E:$F,2,FALSE)</f>
        <v>債權維護</v>
      </c>
      <c r="C321" s="298">
        <v>3</v>
      </c>
      <c r="D321" s="74" t="s">
        <v>1804</v>
      </c>
      <c r="E321" s="71">
        <v>44462</v>
      </c>
      <c r="F321" s="71">
        <v>44468</v>
      </c>
      <c r="G321" s="71">
        <v>44468</v>
      </c>
      <c r="H321" s="71">
        <v>44473</v>
      </c>
      <c r="I321" s="298" t="str">
        <f>VLOOKUP(A321,URS確認!E:I,5,FALSE)</f>
        <v>蘇曉玲</v>
      </c>
      <c r="L321" s="298" t="s">
        <v>1479</v>
      </c>
    </row>
    <row r="322" spans="1:13" x14ac:dyDescent="0.3">
      <c r="A322" s="298" t="s">
        <v>472</v>
      </c>
      <c r="B322" s="69" t="str">
        <f>VLOOKUP(A322,URS確認!$E:$F,2,FALSE)</f>
        <v>債權維護</v>
      </c>
      <c r="C322" s="298">
        <v>4</v>
      </c>
      <c r="D322" s="74" t="s">
        <v>1805</v>
      </c>
      <c r="E322" s="71">
        <v>44462</v>
      </c>
      <c r="F322" s="71">
        <v>44467</v>
      </c>
      <c r="G322" s="71">
        <v>44467</v>
      </c>
      <c r="H322" s="71">
        <v>44473</v>
      </c>
      <c r="I322" s="298" t="str">
        <f>VLOOKUP(A322,URS確認!E:I,5,FALSE)</f>
        <v>蘇曉玲</v>
      </c>
      <c r="L322" s="298" t="s">
        <v>1479</v>
      </c>
    </row>
    <row r="323" spans="1:13" x14ac:dyDescent="0.3">
      <c r="A323" s="298" t="s">
        <v>472</v>
      </c>
      <c r="B323" s="69" t="str">
        <f>VLOOKUP(A323,URS確認!$E:$F,2,FALSE)</f>
        <v>債權維護</v>
      </c>
      <c r="C323" s="298">
        <v>5</v>
      </c>
      <c r="D323" s="74" t="s">
        <v>1806</v>
      </c>
      <c r="E323" s="71">
        <v>44462</v>
      </c>
      <c r="F323" s="71">
        <v>44475</v>
      </c>
      <c r="G323" s="71">
        <v>44469</v>
      </c>
      <c r="H323" s="71">
        <v>44473</v>
      </c>
      <c r="I323" s="298" t="str">
        <f>VLOOKUP(A323,URS確認!E:I,5,FALSE)</f>
        <v>蘇曉玲</v>
      </c>
      <c r="L323" s="298" t="s">
        <v>1479</v>
      </c>
    </row>
    <row r="324" spans="1:13" x14ac:dyDescent="0.3">
      <c r="A324" s="298" t="s">
        <v>472</v>
      </c>
      <c r="B324" s="69" t="str">
        <f>VLOOKUP(A324,URS確認!$E:$F,2,FALSE)</f>
        <v>債權維護</v>
      </c>
      <c r="C324" s="298">
        <v>6</v>
      </c>
      <c r="D324" s="74" t="s">
        <v>1807</v>
      </c>
      <c r="E324" s="71">
        <v>44462</v>
      </c>
      <c r="F324" s="71">
        <v>44475</v>
      </c>
      <c r="G324" s="71">
        <v>44469</v>
      </c>
      <c r="H324" s="71">
        <v>44473</v>
      </c>
      <c r="I324" s="298" t="str">
        <f>VLOOKUP(A324,URS確認!E:I,5,FALSE)</f>
        <v>蘇曉玲</v>
      </c>
      <c r="L324" s="298" t="s">
        <v>1479</v>
      </c>
    </row>
    <row r="325" spans="1:13" x14ac:dyDescent="0.3">
      <c r="A325" s="298" t="s">
        <v>476</v>
      </c>
      <c r="B325" s="69" t="str">
        <f>VLOOKUP(A325,URS確認!$E:$F,2,FALSE)</f>
        <v xml:space="preserve">債務協商滯繳/應繳明細查詢             </v>
      </c>
      <c r="C325" s="298">
        <v>1</v>
      </c>
      <c r="D325" s="74" t="s">
        <v>1808</v>
      </c>
      <c r="E325" s="71">
        <v>44462</v>
      </c>
      <c r="F325" s="71">
        <v>44467</v>
      </c>
      <c r="G325" s="71">
        <v>44467</v>
      </c>
      <c r="H325" s="71">
        <v>44468</v>
      </c>
      <c r="I325" s="298" t="str">
        <f>VLOOKUP(A325,URS確認!E:I,5,FALSE)</f>
        <v>蘇曉玲</v>
      </c>
      <c r="L325" s="298" t="s">
        <v>1479</v>
      </c>
    </row>
    <row r="326" spans="1:13" ht="33" customHeight="1" x14ac:dyDescent="0.3">
      <c r="A326" s="298" t="s">
        <v>476</v>
      </c>
      <c r="B326" s="69" t="str">
        <f>VLOOKUP(A326,URS確認!$E:$F,2,FALSE)</f>
        <v xml:space="preserve">債務協商滯繳/應繳明細查詢             </v>
      </c>
      <c r="C326" s="298">
        <v>2</v>
      </c>
      <c r="D326" s="74" t="s">
        <v>1809</v>
      </c>
      <c r="E326" s="71">
        <v>44462</v>
      </c>
      <c r="F326" s="71">
        <v>44475</v>
      </c>
      <c r="G326" s="71">
        <v>44505</v>
      </c>
      <c r="H326" s="343">
        <v>44489</v>
      </c>
      <c r="I326" s="298" t="str">
        <f>VLOOKUP(A326,URS確認!E:I,5,FALSE)</f>
        <v>蘇曉玲</v>
      </c>
      <c r="M326" s="298" t="s">
        <v>1495</v>
      </c>
    </row>
    <row r="327" spans="1:13" x14ac:dyDescent="0.3">
      <c r="A327" s="298" t="s">
        <v>476</v>
      </c>
      <c r="B327" s="69" t="str">
        <f>VLOOKUP(A327,URS確認!$E:$F,2,FALSE)</f>
        <v xml:space="preserve">債務協商滯繳/應繳明細查詢             </v>
      </c>
      <c r="C327" s="298">
        <v>3</v>
      </c>
      <c r="D327" s="74" t="s">
        <v>1810</v>
      </c>
      <c r="E327" s="71">
        <v>44462</v>
      </c>
      <c r="F327" s="71">
        <v>44467</v>
      </c>
      <c r="G327" s="71">
        <v>44467</v>
      </c>
      <c r="H327" s="71">
        <v>44468</v>
      </c>
      <c r="I327" s="298" t="str">
        <f>VLOOKUP(A327,URS確認!E:I,5,FALSE)</f>
        <v>蘇曉玲</v>
      </c>
      <c r="L327" s="298" t="s">
        <v>1479</v>
      </c>
    </row>
    <row r="328" spans="1:13" x14ac:dyDescent="0.3">
      <c r="A328" s="298" t="s">
        <v>470</v>
      </c>
      <c r="B328" s="69" t="str">
        <f>VLOOKUP(A328,URS確認!$E:$F,2,FALSE)</f>
        <v>債權案件明細查詢</v>
      </c>
      <c r="C328" s="298">
        <v>1</v>
      </c>
      <c r="D328" s="74" t="s">
        <v>1811</v>
      </c>
      <c r="E328" s="71">
        <v>44462</v>
      </c>
      <c r="F328" s="71">
        <v>44468</v>
      </c>
      <c r="G328" s="71">
        <v>44468</v>
      </c>
      <c r="H328" s="71">
        <v>44470</v>
      </c>
      <c r="I328" s="298" t="str">
        <f>VLOOKUP(A328,URS確認!E:I,5,FALSE)</f>
        <v>蘇曉玲</v>
      </c>
      <c r="L328" s="298" t="s">
        <v>1479</v>
      </c>
    </row>
    <row r="329" spans="1:13" x14ac:dyDescent="0.3">
      <c r="A329" s="298" t="s">
        <v>482</v>
      </c>
      <c r="B329" s="69" t="str">
        <f>VLOOKUP(A329,URS確認!$E:$F,2,FALSE)</f>
        <v xml:space="preserve">期款試算                              </v>
      </c>
      <c r="C329" s="298">
        <v>1</v>
      </c>
      <c r="D329" s="74" t="s">
        <v>1812</v>
      </c>
      <c r="E329" s="71">
        <v>44462</v>
      </c>
      <c r="F329" s="71">
        <v>44467</v>
      </c>
      <c r="G329" s="71">
        <v>44467</v>
      </c>
      <c r="H329" s="71">
        <v>44468</v>
      </c>
      <c r="I329" s="298" t="str">
        <f>VLOOKUP(A329,URS確認!E:I,5,FALSE)</f>
        <v>蘇曉玲</v>
      </c>
      <c r="L329" s="298" t="s">
        <v>1479</v>
      </c>
    </row>
    <row r="330" spans="1:13" ht="33" customHeight="1" x14ac:dyDescent="0.3">
      <c r="A330" s="298" t="s">
        <v>486</v>
      </c>
      <c r="B330" s="69" t="str">
        <f>VLOOKUP(A330,URS確認!$E:$F,2,FALSE)</f>
        <v>債務協商作業-整批處理</v>
      </c>
      <c r="C330" s="298">
        <v>1</v>
      </c>
      <c r="D330" s="74" t="s">
        <v>1813</v>
      </c>
      <c r="E330" s="71">
        <v>44463</v>
      </c>
      <c r="F330" s="71">
        <v>44475</v>
      </c>
      <c r="G330" s="71">
        <v>44474</v>
      </c>
      <c r="H330" s="71">
        <v>44474</v>
      </c>
      <c r="I330" s="298" t="str">
        <f>VLOOKUP(A330,URS確認!E:I,5,FALSE)</f>
        <v>蘇曉玲</v>
      </c>
      <c r="M330" s="298" t="s">
        <v>1495</v>
      </c>
    </row>
    <row r="331" spans="1:13" x14ac:dyDescent="0.3">
      <c r="A331" s="298" t="s">
        <v>515</v>
      </c>
      <c r="B331" s="69" t="str">
        <f>VLOOKUP(A331,URS確認!$E:$F,2,FALSE)</f>
        <v xml:space="preserve">最大債權撥付回覆檔檢核                </v>
      </c>
      <c r="C331" s="298">
        <v>1</v>
      </c>
      <c r="D331" s="74" t="s">
        <v>1814</v>
      </c>
      <c r="E331" s="71">
        <v>44463</v>
      </c>
      <c r="F331" s="71">
        <v>44475</v>
      </c>
      <c r="G331" s="71">
        <v>44473</v>
      </c>
      <c r="H331" s="71">
        <v>44473</v>
      </c>
      <c r="I331" s="298" t="str">
        <f>VLOOKUP(A331,URS確認!E:I,5,FALSE)</f>
        <v>蘇曉玲</v>
      </c>
      <c r="L331" s="298" t="s">
        <v>1479</v>
      </c>
    </row>
    <row r="332" spans="1:13" x14ac:dyDescent="0.3">
      <c r="A332" s="298" t="s">
        <v>517</v>
      </c>
      <c r="B332" s="69" t="str">
        <f>VLOOKUP(A332,URS確認!$E:$F,2,FALSE)</f>
        <v xml:space="preserve">一般債權撥付資料檢核                  </v>
      </c>
      <c r="C332" s="298">
        <v>1</v>
      </c>
      <c r="D332" s="74" t="s">
        <v>1814</v>
      </c>
      <c r="E332" s="71">
        <v>44463</v>
      </c>
      <c r="F332" s="71">
        <v>44475</v>
      </c>
      <c r="G332" s="71">
        <v>44473</v>
      </c>
      <c r="H332" s="71">
        <v>44473</v>
      </c>
      <c r="I332" s="298" t="str">
        <f>VLOOKUP(A332,URS確認!E:I,5,FALSE)</f>
        <v>蘇曉玲</v>
      </c>
      <c r="L332" s="298" t="s">
        <v>1479</v>
      </c>
    </row>
    <row r="333" spans="1:13" ht="33" customHeight="1" x14ac:dyDescent="0.3">
      <c r="A333" s="298" t="s">
        <v>470</v>
      </c>
      <c r="B333" s="69" t="str">
        <f>VLOOKUP(A333,URS確認!$E:$F,2,FALSE)</f>
        <v>債權案件明細查詢</v>
      </c>
      <c r="C333" s="298">
        <v>1</v>
      </c>
      <c r="D333" s="74" t="s">
        <v>1815</v>
      </c>
      <c r="E333" s="71">
        <v>44463</v>
      </c>
      <c r="F333" s="71">
        <v>44475</v>
      </c>
      <c r="G333" s="71">
        <v>44469</v>
      </c>
      <c r="H333" s="71">
        <v>44470</v>
      </c>
      <c r="I333" s="298" t="str">
        <f>VLOOKUP(A333,URS確認!E:I,5,FALSE)</f>
        <v>蘇曉玲</v>
      </c>
      <c r="M333" s="298" t="s">
        <v>1495</v>
      </c>
    </row>
    <row r="334" spans="1:13" x14ac:dyDescent="0.3">
      <c r="A334" s="298" t="s">
        <v>493</v>
      </c>
      <c r="B334" s="69" t="str">
        <f>VLOOKUP(A334,URS確認!$E:$F,2,FALSE)</f>
        <v xml:space="preserve">債務協商交易資料查詢                  </v>
      </c>
      <c r="C334" s="298">
        <v>1</v>
      </c>
      <c r="D334" s="74" t="s">
        <v>1816</v>
      </c>
      <c r="E334" s="71">
        <v>44463</v>
      </c>
      <c r="F334" s="71">
        <v>44467</v>
      </c>
      <c r="G334" s="71">
        <v>44467</v>
      </c>
      <c r="H334" s="71">
        <v>44468</v>
      </c>
      <c r="I334" s="298" t="str">
        <f>VLOOKUP(A334,URS確認!E:I,5,FALSE)</f>
        <v>蘇曉玲</v>
      </c>
      <c r="L334" s="298" t="s">
        <v>1479</v>
      </c>
    </row>
    <row r="335" spans="1:13" ht="66" customHeight="1" x14ac:dyDescent="0.3">
      <c r="A335" s="298" t="s">
        <v>493</v>
      </c>
      <c r="B335" s="69" t="str">
        <f>VLOOKUP(A335,URS確認!$E:$F,2,FALSE)</f>
        <v xml:space="preserve">債務協商交易資料查詢                  </v>
      </c>
      <c r="C335" s="298">
        <v>2</v>
      </c>
      <c r="D335" s="74" t="s">
        <v>1817</v>
      </c>
      <c r="E335" s="71">
        <v>44463</v>
      </c>
      <c r="F335" s="71">
        <v>44475</v>
      </c>
      <c r="G335" s="71">
        <v>44474</v>
      </c>
      <c r="H335" s="71">
        <v>44474</v>
      </c>
      <c r="I335" s="298" t="str">
        <f>VLOOKUP(A335,URS確認!E:I,5,FALSE)</f>
        <v>蘇曉玲</v>
      </c>
      <c r="M335" s="298" t="s">
        <v>1495</v>
      </c>
    </row>
    <row r="336" spans="1:13" x14ac:dyDescent="0.3">
      <c r="A336" s="298" t="s">
        <v>524</v>
      </c>
      <c r="B336" s="69" t="str">
        <f>VLOOKUP(A336,URS確認!$E:$F,2,FALSE)</f>
        <v>單位及主管代號維護</v>
      </c>
      <c r="C336" s="298">
        <v>1</v>
      </c>
      <c r="D336" s="74" t="s">
        <v>1818</v>
      </c>
      <c r="E336" s="71">
        <v>44466</v>
      </c>
      <c r="F336" s="71">
        <v>44475</v>
      </c>
      <c r="G336" s="71">
        <v>44475</v>
      </c>
      <c r="H336" s="71">
        <v>44475</v>
      </c>
      <c r="I336" s="298" t="str">
        <f>VLOOKUP(A336,URS確認!E:I,5,FALSE)</f>
        <v>楊智誠</v>
      </c>
      <c r="L336" s="298" t="s">
        <v>1479</v>
      </c>
    </row>
    <row r="337" spans="1:12" x14ac:dyDescent="0.3">
      <c r="A337" s="298" t="s">
        <v>524</v>
      </c>
      <c r="B337" s="69" t="str">
        <f>VLOOKUP(A337,URS確認!$E:$F,2,FALSE)</f>
        <v>單位及主管代號維護</v>
      </c>
      <c r="C337" s="298">
        <v>2</v>
      </c>
      <c r="D337" s="74" t="s">
        <v>1819</v>
      </c>
      <c r="E337" s="71">
        <v>44466</v>
      </c>
      <c r="F337" s="71">
        <v>44475</v>
      </c>
      <c r="G337" s="71">
        <v>44475</v>
      </c>
      <c r="H337" s="71">
        <v>44475</v>
      </c>
      <c r="I337" s="298" t="str">
        <f>VLOOKUP(A337,URS確認!E:I,5,FALSE)</f>
        <v>楊智誠</v>
      </c>
      <c r="L337" s="298" t="s">
        <v>1479</v>
      </c>
    </row>
    <row r="338" spans="1:12" x14ac:dyDescent="0.3">
      <c r="A338" s="298" t="s">
        <v>519</v>
      </c>
      <c r="B338" s="69" t="str">
        <f>VLOOKUP(A338,URS確認!$E:$F,2,FALSE)</f>
        <v>單位及主管代號查詢</v>
      </c>
      <c r="C338" s="298">
        <v>1</v>
      </c>
      <c r="D338" s="74" t="s">
        <v>1818</v>
      </c>
      <c r="E338" s="71">
        <v>44466</v>
      </c>
      <c r="F338" s="71">
        <v>44475</v>
      </c>
      <c r="G338" s="71">
        <v>44475</v>
      </c>
      <c r="H338" s="71">
        <v>44475</v>
      </c>
      <c r="I338" s="298" t="str">
        <f>VLOOKUP(A338,URS確認!E:I,5,FALSE)</f>
        <v>楊智誠</v>
      </c>
      <c r="L338" s="298" t="s">
        <v>1479</v>
      </c>
    </row>
    <row r="339" spans="1:12" x14ac:dyDescent="0.3">
      <c r="A339" s="298" t="s">
        <v>519</v>
      </c>
      <c r="B339" s="69" t="str">
        <f>VLOOKUP(A339,URS確認!$E:$F,2,FALSE)</f>
        <v>單位及主管代號查詢</v>
      </c>
      <c r="C339" s="298">
        <v>2</v>
      </c>
      <c r="D339" s="74" t="s">
        <v>1820</v>
      </c>
      <c r="E339" s="71">
        <v>44466</v>
      </c>
      <c r="F339" s="71">
        <v>44475</v>
      </c>
      <c r="G339" s="71">
        <v>44475</v>
      </c>
      <c r="H339" s="71">
        <v>44475</v>
      </c>
      <c r="I339" s="298" t="str">
        <f>VLOOKUP(A339,URS確認!E:I,5,FALSE)</f>
        <v>楊智誠</v>
      </c>
      <c r="L339" s="298" t="s">
        <v>1479</v>
      </c>
    </row>
    <row r="340" spans="1:12" x14ac:dyDescent="0.3">
      <c r="A340" s="298" t="s">
        <v>519</v>
      </c>
      <c r="B340" s="69" t="str">
        <f>VLOOKUP(A340,URS確認!$E:$F,2,FALSE)</f>
        <v>單位及主管代號查詢</v>
      </c>
      <c r="C340" s="298">
        <v>3</v>
      </c>
      <c r="D340" s="74" t="s">
        <v>1821</v>
      </c>
      <c r="E340" s="71">
        <v>44466</v>
      </c>
      <c r="F340" s="71">
        <v>44475</v>
      </c>
      <c r="G340" s="71">
        <v>44475</v>
      </c>
      <c r="H340" s="71">
        <v>44475</v>
      </c>
      <c r="I340" s="298" t="str">
        <f>VLOOKUP(A340,URS確認!E:I,5,FALSE)</f>
        <v>楊智誠</v>
      </c>
      <c r="L340" s="298" t="s">
        <v>1479</v>
      </c>
    </row>
    <row r="341" spans="1:12" ht="49.5" customHeight="1" x14ac:dyDescent="0.3">
      <c r="A341" s="298" t="s">
        <v>526</v>
      </c>
      <c r="B341" s="69" t="str">
        <f>VLOOKUP(A341,URS確認!$E:$F,2,FALSE)</f>
        <v>單位代號查詢</v>
      </c>
      <c r="C341" s="298">
        <v>1</v>
      </c>
      <c r="D341" s="74" t="s">
        <v>1822</v>
      </c>
      <c r="E341" s="71">
        <v>44466</v>
      </c>
      <c r="F341" s="71">
        <v>44475</v>
      </c>
      <c r="G341" s="71">
        <v>44475</v>
      </c>
      <c r="H341" s="71">
        <v>44475</v>
      </c>
      <c r="I341" s="298" t="str">
        <f>VLOOKUP(A341,URS確認!E:I,5,FALSE)</f>
        <v>楊智誠</v>
      </c>
      <c r="L341" s="298" t="s">
        <v>1479</v>
      </c>
    </row>
    <row r="342" spans="1:12" x14ac:dyDescent="0.3">
      <c r="A342" s="298" t="s">
        <v>532</v>
      </c>
      <c r="B342" s="69" t="str">
        <f>VLOOKUP(A342,URS確認!$E:$F,2,FALSE)</f>
        <v>各類代碼檔查詢</v>
      </c>
      <c r="C342" s="298">
        <v>1</v>
      </c>
      <c r="D342" s="74" t="s">
        <v>1823</v>
      </c>
      <c r="E342" s="71">
        <v>44466</v>
      </c>
      <c r="F342" s="71">
        <v>44475</v>
      </c>
      <c r="G342" s="71">
        <v>44475</v>
      </c>
      <c r="H342" s="71">
        <v>44475</v>
      </c>
      <c r="I342" s="298" t="str">
        <f>VLOOKUP(A342,URS確認!E:I,5,FALSE)</f>
        <v>楊智誠</v>
      </c>
      <c r="L342" s="298" t="s">
        <v>1479</v>
      </c>
    </row>
    <row r="343" spans="1:12" x14ac:dyDescent="0.3">
      <c r="A343" s="298" t="s">
        <v>532</v>
      </c>
      <c r="B343" s="69" t="str">
        <f>VLOOKUP(A343,URS確認!$E:$F,2,FALSE)</f>
        <v>各類代碼檔查詢</v>
      </c>
      <c r="C343" s="298">
        <v>2</v>
      </c>
      <c r="D343" s="74" t="s">
        <v>1820</v>
      </c>
      <c r="E343" s="71">
        <v>44466</v>
      </c>
      <c r="F343" s="71">
        <v>44475</v>
      </c>
      <c r="G343" s="71">
        <v>44475</v>
      </c>
      <c r="H343" s="71">
        <v>44475</v>
      </c>
      <c r="I343" s="298" t="str">
        <f>VLOOKUP(A343,URS確認!E:I,5,FALSE)</f>
        <v>楊智誠</v>
      </c>
      <c r="L343" s="298" t="s">
        <v>1479</v>
      </c>
    </row>
    <row r="344" spans="1:12" x14ac:dyDescent="0.3">
      <c r="A344" s="298" t="s">
        <v>534</v>
      </c>
      <c r="B344" s="69" t="str">
        <f>VLOOKUP(A344,URS確認!$E:$F,2,FALSE)</f>
        <v>各類代碼檔維護</v>
      </c>
      <c r="C344" s="298">
        <v>1</v>
      </c>
      <c r="D344" s="74" t="s">
        <v>1824</v>
      </c>
      <c r="E344" s="71">
        <v>44466</v>
      </c>
      <c r="F344" s="71">
        <v>44475</v>
      </c>
      <c r="G344" s="71">
        <v>44475</v>
      </c>
      <c r="H344" s="71">
        <v>44475</v>
      </c>
      <c r="I344" s="298" t="str">
        <f>VLOOKUP(A344,URS確認!E:I,5,FALSE)</f>
        <v>楊智誠</v>
      </c>
      <c r="L344" s="298" t="s">
        <v>1479</v>
      </c>
    </row>
    <row r="345" spans="1:12" x14ac:dyDescent="0.3">
      <c r="A345" s="298" t="s">
        <v>528</v>
      </c>
      <c r="B345" s="69" t="str">
        <f>VLOOKUP(A345,URS確認!$E:$F,2,FALSE)</f>
        <v>特殊/例假日查詢</v>
      </c>
      <c r="C345" s="298">
        <v>1</v>
      </c>
      <c r="D345" s="74" t="s">
        <v>1825</v>
      </c>
      <c r="E345" s="71">
        <v>44466</v>
      </c>
      <c r="F345" s="71">
        <v>44475</v>
      </c>
      <c r="G345" s="71">
        <v>44475</v>
      </c>
      <c r="H345" s="71">
        <v>44475</v>
      </c>
      <c r="I345" s="298" t="str">
        <f>VLOOKUP(A345,URS確認!E:I,5,FALSE)</f>
        <v>楊智誠</v>
      </c>
      <c r="L345" s="298" t="s">
        <v>1479</v>
      </c>
    </row>
    <row r="346" spans="1:12" x14ac:dyDescent="0.3">
      <c r="A346" s="298" t="s">
        <v>574</v>
      </c>
      <c r="B346" s="69" t="str">
        <f>VLOOKUP(A346,URS確認!$E:$F,2,FALSE)</f>
        <v>地區別資料查詢</v>
      </c>
      <c r="C346" s="298">
        <v>1</v>
      </c>
      <c r="D346" s="74" t="s">
        <v>1826</v>
      </c>
      <c r="E346" s="71">
        <v>44467</v>
      </c>
      <c r="F346" s="71">
        <v>44475</v>
      </c>
      <c r="G346" s="71">
        <v>44475</v>
      </c>
      <c r="H346" s="71">
        <v>44475</v>
      </c>
      <c r="I346" s="298" t="str">
        <f>VLOOKUP(A346,URS確認!E:I,5,FALSE)</f>
        <v>楊智誠</v>
      </c>
      <c r="L346" s="298" t="s">
        <v>1479</v>
      </c>
    </row>
    <row r="347" spans="1:12" x14ac:dyDescent="0.3">
      <c r="A347" s="298" t="s">
        <v>576</v>
      </c>
      <c r="B347" s="69" t="str">
        <f>VLOOKUP(A347,URS確認!$E:$F,2,FALSE)</f>
        <v>地區別資料維護</v>
      </c>
      <c r="C347" s="298">
        <v>1</v>
      </c>
      <c r="D347" s="74" t="s">
        <v>1827</v>
      </c>
      <c r="E347" s="71">
        <v>44467</v>
      </c>
      <c r="F347" s="71">
        <v>44475</v>
      </c>
      <c r="G347" s="71">
        <v>44475</v>
      </c>
      <c r="H347" s="71">
        <v>44475</v>
      </c>
      <c r="I347" s="298" t="str">
        <f>VLOOKUP(A347,URS確認!E:I,5,FALSE)</f>
        <v>楊智誠</v>
      </c>
      <c r="L347" s="298" t="s">
        <v>1479</v>
      </c>
    </row>
    <row r="348" spans="1:12" x14ac:dyDescent="0.3">
      <c r="A348" s="298" t="s">
        <v>564</v>
      </c>
      <c r="B348" s="69" t="str">
        <f>VLOOKUP(A348,URS確認!$E:$F,2,FALSE)</f>
        <v>聯徵報送-地區別資料查詢</v>
      </c>
      <c r="C348" s="298">
        <v>1</v>
      </c>
      <c r="D348" s="74" t="s">
        <v>1828</v>
      </c>
      <c r="E348" s="71">
        <v>44467</v>
      </c>
      <c r="F348" s="71">
        <v>44475</v>
      </c>
      <c r="G348" s="71">
        <v>44475</v>
      </c>
      <c r="H348" s="71">
        <v>44475</v>
      </c>
      <c r="I348" s="298" t="str">
        <f>VLOOKUP(A348,URS確認!E:I,5,FALSE)</f>
        <v>楊智誠</v>
      </c>
      <c r="L348" s="298" t="s">
        <v>1479</v>
      </c>
    </row>
    <row r="349" spans="1:12" x14ac:dyDescent="0.3">
      <c r="A349" s="298" t="s">
        <v>564</v>
      </c>
      <c r="B349" s="69" t="str">
        <f>VLOOKUP(A349,URS確認!$E:$F,2,FALSE)</f>
        <v>聯徵報送-地區別資料查詢</v>
      </c>
      <c r="C349" s="298">
        <v>2</v>
      </c>
      <c r="D349" s="74" t="s">
        <v>1829</v>
      </c>
      <c r="E349" s="71">
        <v>44467</v>
      </c>
      <c r="F349" s="71">
        <v>44475</v>
      </c>
      <c r="G349" s="71">
        <v>44475</v>
      </c>
      <c r="H349" s="71">
        <v>44475</v>
      </c>
      <c r="I349" s="298" t="str">
        <f>VLOOKUP(A349,URS確認!E:I,5,FALSE)</f>
        <v>楊智誠</v>
      </c>
      <c r="L349" s="298" t="s">
        <v>1479</v>
      </c>
    </row>
    <row r="350" spans="1:12" x14ac:dyDescent="0.3">
      <c r="A350" s="298" t="s">
        <v>568</v>
      </c>
      <c r="B350" s="69" t="str">
        <f>VLOOKUP(A350,URS確認!$E:$F,2,FALSE)</f>
        <v>聯徵報送-地區別資料維護</v>
      </c>
      <c r="C350" s="298">
        <v>1</v>
      </c>
      <c r="D350" s="74" t="s">
        <v>1830</v>
      </c>
      <c r="E350" s="71">
        <v>44467</v>
      </c>
      <c r="F350" s="71">
        <v>44475</v>
      </c>
      <c r="G350" s="71">
        <v>44475</v>
      </c>
      <c r="H350" s="71">
        <v>44475</v>
      </c>
      <c r="I350" s="298" t="str">
        <f>VLOOKUP(A350,URS確認!E:I,5,FALSE)</f>
        <v>楊智誠</v>
      </c>
      <c r="L350" s="298" t="s">
        <v>1479</v>
      </c>
    </row>
    <row r="351" spans="1:12" x14ac:dyDescent="0.3">
      <c r="A351" s="298" t="s">
        <v>568</v>
      </c>
      <c r="B351" s="69" t="str">
        <f>VLOOKUP(A351,URS確認!$E:$F,2,FALSE)</f>
        <v>聯徵報送-地區別資料維護</v>
      </c>
      <c r="C351" s="298">
        <v>2</v>
      </c>
      <c r="D351" s="74" t="s">
        <v>1831</v>
      </c>
      <c r="E351" s="71">
        <v>44467</v>
      </c>
      <c r="F351" s="71">
        <v>44475</v>
      </c>
      <c r="G351" s="71">
        <v>44475</v>
      </c>
      <c r="H351" s="71">
        <v>44475</v>
      </c>
      <c r="I351" s="298" t="str">
        <f>VLOOKUP(A351,URS確認!E:I,5,FALSE)</f>
        <v>楊智誠</v>
      </c>
      <c r="L351" s="298" t="s">
        <v>1479</v>
      </c>
    </row>
    <row r="352" spans="1:12" x14ac:dyDescent="0.3">
      <c r="A352" s="298" t="s">
        <v>568</v>
      </c>
      <c r="B352" s="69" t="str">
        <f>VLOOKUP(A352,URS確認!$E:$F,2,FALSE)</f>
        <v>聯徵報送-地區別資料維護</v>
      </c>
      <c r="C352" s="298">
        <v>3</v>
      </c>
      <c r="D352" s="74" t="s">
        <v>1832</v>
      </c>
      <c r="E352" s="71">
        <v>44467</v>
      </c>
      <c r="F352" s="71">
        <v>44475</v>
      </c>
      <c r="G352" s="71">
        <v>44475</v>
      </c>
      <c r="H352" s="71">
        <v>44475</v>
      </c>
      <c r="I352" s="298" t="str">
        <f>VLOOKUP(A352,URS確認!E:I,5,FALSE)</f>
        <v>楊智誠</v>
      </c>
      <c r="L352" s="298" t="s">
        <v>1479</v>
      </c>
    </row>
    <row r="353" spans="1:13" x14ac:dyDescent="0.3">
      <c r="A353" s="298" t="s">
        <v>568</v>
      </c>
      <c r="B353" s="69" t="str">
        <f>VLOOKUP(A353,URS確認!$E:$F,2,FALSE)</f>
        <v>聯徵報送-地區別資料維護</v>
      </c>
      <c r="C353" s="298">
        <v>4</v>
      </c>
      <c r="D353" s="74" t="s">
        <v>1833</v>
      </c>
      <c r="E353" s="71">
        <v>44467</v>
      </c>
      <c r="F353" s="71">
        <v>44475</v>
      </c>
      <c r="G353" s="71">
        <v>44475</v>
      </c>
      <c r="H353" s="71">
        <v>44475</v>
      </c>
      <c r="I353" s="298" t="str">
        <f>VLOOKUP(A353,URS確認!E:I,5,FALSE)</f>
        <v>楊智誠</v>
      </c>
      <c r="L353" s="298" t="s">
        <v>1479</v>
      </c>
    </row>
    <row r="354" spans="1:13" x14ac:dyDescent="0.3">
      <c r="A354" s="298" t="s">
        <v>120</v>
      </c>
      <c r="B354" s="69" t="str">
        <f>VLOOKUP(A354,URS確認!$E:$F,2,FALSE)</f>
        <v>顧客明細資料查詢</v>
      </c>
      <c r="C354" s="298">
        <v>1</v>
      </c>
      <c r="D354" s="74" t="s">
        <v>1834</v>
      </c>
      <c r="E354" s="71">
        <v>44467</v>
      </c>
      <c r="F354" s="71">
        <v>44477</v>
      </c>
      <c r="G354" s="71">
        <v>44475</v>
      </c>
      <c r="H354" s="71">
        <v>44475</v>
      </c>
      <c r="I354" s="298" t="str">
        <f>VLOOKUP(A354,URS確認!E:I,5,FALSE)</f>
        <v>張嘉榮</v>
      </c>
      <c r="L354" s="298" t="s">
        <v>1479</v>
      </c>
    </row>
    <row r="355" spans="1:13" ht="33" customHeight="1" x14ac:dyDescent="0.3">
      <c r="A355" s="298" t="s">
        <v>1109</v>
      </c>
      <c r="B355" s="69" t="str">
        <f>VLOOKUP(A355,URS確認!$E:$F,2,FALSE)</f>
        <v>使用者資料維護</v>
      </c>
      <c r="C355" s="298">
        <v>1</v>
      </c>
      <c r="D355" s="74" t="s">
        <v>1835</v>
      </c>
      <c r="E355" s="71">
        <v>44467</v>
      </c>
      <c r="F355" s="71">
        <v>44476</v>
      </c>
      <c r="G355" s="71">
        <v>44476</v>
      </c>
      <c r="H355" s="71">
        <v>44476</v>
      </c>
      <c r="I355" s="298" t="str">
        <f>VLOOKUP(A355,URS確認!E:I,5,FALSE)</f>
        <v>楊智誠</v>
      </c>
      <c r="L355" s="298" t="s">
        <v>1479</v>
      </c>
    </row>
    <row r="356" spans="1:13" x14ac:dyDescent="0.3">
      <c r="A356" s="298" t="s">
        <v>598</v>
      </c>
      <c r="B356" s="69" t="str">
        <f>VLOOKUP(A356,URS確認!$E:$F,2,FALSE)</f>
        <v>保險/鑑定公司資料維護</v>
      </c>
      <c r="C356" s="298">
        <v>1</v>
      </c>
      <c r="D356" s="74" t="s">
        <v>1836</v>
      </c>
      <c r="E356" s="71">
        <v>44467</v>
      </c>
      <c r="F356" s="71">
        <v>44475</v>
      </c>
      <c r="G356" s="71">
        <v>44475</v>
      </c>
      <c r="H356" s="71">
        <v>44475</v>
      </c>
      <c r="I356" s="298" t="str">
        <f>VLOOKUP(A356,URS確認!E:I,5,FALSE)</f>
        <v>楊智誠</v>
      </c>
      <c r="L356" s="298" t="s">
        <v>1479</v>
      </c>
    </row>
    <row r="357" spans="1:13" x14ac:dyDescent="0.3">
      <c r="A357" s="298" t="s">
        <v>606</v>
      </c>
      <c r="B357" s="69" t="str">
        <f>VLOOKUP(A357,URS確認!$E:$F,2,FALSE)</f>
        <v>會計變動數值設定查詢</v>
      </c>
      <c r="C357" s="298">
        <v>1</v>
      </c>
      <c r="D357" s="74" t="s">
        <v>1837</v>
      </c>
      <c r="E357" s="71">
        <v>44467</v>
      </c>
      <c r="F357" s="71">
        <v>44475</v>
      </c>
      <c r="G357" s="71">
        <v>44475</v>
      </c>
      <c r="H357" s="71">
        <v>44475</v>
      </c>
      <c r="I357" s="298" t="str">
        <f>VLOOKUP(A357,URS確認!E:I,5,FALSE)</f>
        <v>楊智誠</v>
      </c>
      <c r="L357" s="298" t="s">
        <v>1479</v>
      </c>
    </row>
    <row r="358" spans="1:13" x14ac:dyDescent="0.3">
      <c r="A358" s="298" t="s">
        <v>608</v>
      </c>
      <c r="B358" s="69" t="str">
        <f>VLOOKUP(A358,URS確認!$E:$F,2,FALSE)</f>
        <v>會計變動數值設定</v>
      </c>
      <c r="C358" s="298">
        <v>1</v>
      </c>
      <c r="D358" s="74" t="s">
        <v>1838</v>
      </c>
      <c r="E358" s="71">
        <v>44467</v>
      </c>
      <c r="F358" s="71">
        <v>44475</v>
      </c>
      <c r="G358" s="71">
        <v>44475</v>
      </c>
      <c r="H358" s="71">
        <v>44475</v>
      </c>
      <c r="I358" s="298" t="str">
        <f>VLOOKUP(A358,URS確認!E:I,5,FALSE)</f>
        <v>楊智誠</v>
      </c>
      <c r="L358" s="298" t="s">
        <v>1479</v>
      </c>
    </row>
    <row r="359" spans="1:13" ht="66" customHeight="1" x14ac:dyDescent="0.3">
      <c r="A359" s="298" t="s">
        <v>615</v>
      </c>
      <c r="B359" s="69" t="str">
        <f>VLOOKUP(A359,URS確認!$E:$F,2,FALSE)</f>
        <v>產出員工扣薪明細檔</v>
      </c>
      <c r="C359" s="298">
        <v>1</v>
      </c>
      <c r="D359" s="74" t="s">
        <v>1839</v>
      </c>
      <c r="E359" s="71">
        <v>44468</v>
      </c>
      <c r="F359" s="71">
        <v>44504</v>
      </c>
      <c r="G359" s="71">
        <v>44504</v>
      </c>
      <c r="H359" s="71">
        <v>44504</v>
      </c>
      <c r="I359" s="298" t="s">
        <v>179</v>
      </c>
      <c r="M359" s="298" t="s">
        <v>1495</v>
      </c>
    </row>
    <row r="360" spans="1:13" x14ac:dyDescent="0.3">
      <c r="A360" s="298" t="s">
        <v>615</v>
      </c>
      <c r="B360" s="69" t="str">
        <f>VLOOKUP(A360,URS確認!$E:$F,2,FALSE)</f>
        <v>產出員工扣薪明細檔</v>
      </c>
      <c r="C360" s="298">
        <v>2</v>
      </c>
      <c r="D360" s="74" t="s">
        <v>1840</v>
      </c>
      <c r="E360" s="71">
        <v>44468</v>
      </c>
      <c r="F360" s="71">
        <v>44504</v>
      </c>
      <c r="G360" s="71">
        <v>44504</v>
      </c>
      <c r="H360" s="71">
        <v>44504</v>
      </c>
      <c r="I360" s="298" t="s">
        <v>179</v>
      </c>
      <c r="L360" s="298" t="s">
        <v>1479</v>
      </c>
    </row>
    <row r="361" spans="1:13" ht="49.5" customHeight="1" x14ac:dyDescent="0.3">
      <c r="A361" s="298" t="s">
        <v>615</v>
      </c>
      <c r="B361" s="69" t="str">
        <f>VLOOKUP(A361,URS確認!$E:$F,2,FALSE)</f>
        <v>產出員工扣薪明細檔</v>
      </c>
      <c r="C361" s="298">
        <v>3</v>
      </c>
      <c r="D361" s="74" t="s">
        <v>1841</v>
      </c>
      <c r="E361" s="71">
        <v>44468</v>
      </c>
      <c r="F361" s="71">
        <v>44504</v>
      </c>
      <c r="G361" s="71">
        <v>44504</v>
      </c>
      <c r="H361" s="71">
        <v>44504</v>
      </c>
      <c r="I361" s="298" t="s">
        <v>179</v>
      </c>
      <c r="L361" s="298" t="s">
        <v>1479</v>
      </c>
    </row>
    <row r="362" spans="1:13" x14ac:dyDescent="0.3">
      <c r="A362" s="298" t="s">
        <v>615</v>
      </c>
      <c r="B362" s="69" t="str">
        <f>VLOOKUP(A362,URS確認!$E:$F,2,FALSE)</f>
        <v>產出員工扣薪明細檔</v>
      </c>
      <c r="C362" s="298">
        <v>4</v>
      </c>
      <c r="D362" s="74" t="s">
        <v>1842</v>
      </c>
      <c r="E362" s="71">
        <v>44468</v>
      </c>
      <c r="F362" s="71">
        <v>44508</v>
      </c>
      <c r="G362" s="71">
        <v>44508</v>
      </c>
      <c r="H362" s="71">
        <v>44508</v>
      </c>
      <c r="I362" s="298" t="s">
        <v>179</v>
      </c>
      <c r="L362" s="298" t="s">
        <v>1479</v>
      </c>
    </row>
    <row r="363" spans="1:13" ht="33" customHeight="1" x14ac:dyDescent="0.3">
      <c r="A363" s="298" t="s">
        <v>623</v>
      </c>
      <c r="B363" s="69" t="str">
        <f>VLOOKUP(A363,URS確認!$E:$F,2,FALSE)</f>
        <v xml:space="preserve">入帳檔上傳作業                       </v>
      </c>
      <c r="C363" s="298">
        <v>1</v>
      </c>
      <c r="D363" s="74" t="s">
        <v>1843</v>
      </c>
      <c r="E363" s="71">
        <v>44468</v>
      </c>
      <c r="F363" s="71">
        <v>44512</v>
      </c>
      <c r="G363" s="71">
        <v>44526</v>
      </c>
      <c r="H363" s="71">
        <v>44526</v>
      </c>
      <c r="I363" s="298" t="s">
        <v>179</v>
      </c>
      <c r="L363" s="298" t="s">
        <v>1479</v>
      </c>
    </row>
    <row r="364" spans="1:13" ht="115.5" customHeight="1" x14ac:dyDescent="0.3">
      <c r="A364" s="298" t="s">
        <v>623</v>
      </c>
      <c r="B364" s="69" t="str">
        <f>VLOOKUP(A364,URS確認!$E:$F,2,FALSE)</f>
        <v xml:space="preserve">入帳檔上傳作業                       </v>
      </c>
      <c r="C364" s="298">
        <v>2</v>
      </c>
      <c r="D364" s="74" t="s">
        <v>1844</v>
      </c>
      <c r="E364" s="71">
        <v>44468</v>
      </c>
      <c r="F364" s="71">
        <v>44469</v>
      </c>
      <c r="G364" s="71">
        <v>44469</v>
      </c>
      <c r="H364" s="71">
        <v>44469</v>
      </c>
      <c r="I364" s="298" t="s">
        <v>179</v>
      </c>
      <c r="L364" s="298" t="s">
        <v>1479</v>
      </c>
    </row>
    <row r="365" spans="1:13" ht="49.5" customHeight="1" x14ac:dyDescent="0.3">
      <c r="A365" s="298" t="s">
        <v>621</v>
      </c>
      <c r="B365" s="69" t="str">
        <f>VLOOKUP(A365,URS確認!$E:$F,2,FALSE)</f>
        <v>產出員工扣薪媒體檔</v>
      </c>
      <c r="C365" s="298">
        <v>1</v>
      </c>
      <c r="D365" s="74" t="s">
        <v>1841</v>
      </c>
      <c r="E365" s="71">
        <v>44468</v>
      </c>
      <c r="F365" s="71">
        <v>44504</v>
      </c>
      <c r="G365" s="71">
        <v>44504</v>
      </c>
      <c r="H365" s="71">
        <v>44504</v>
      </c>
      <c r="I365" s="298" t="s">
        <v>179</v>
      </c>
      <c r="L365" s="298" t="s">
        <v>1479</v>
      </c>
    </row>
    <row r="366" spans="1:13" x14ac:dyDescent="0.3">
      <c r="A366" s="298" t="s">
        <v>626</v>
      </c>
      <c r="B366" s="69" t="str">
        <f>VLOOKUP(A366,URS確認!$E:$F,2,FALSE)</f>
        <v>產生員工扣薪報表</v>
      </c>
      <c r="C366" s="298">
        <v>1</v>
      </c>
      <c r="D366" s="74" t="s">
        <v>1842</v>
      </c>
      <c r="E366" s="71">
        <v>44468</v>
      </c>
      <c r="F366" s="71">
        <v>44508</v>
      </c>
      <c r="G366" s="71">
        <v>44508</v>
      </c>
      <c r="H366" s="71">
        <v>44508</v>
      </c>
      <c r="I366" s="298" t="s">
        <v>179</v>
      </c>
      <c r="L366" s="298" t="s">
        <v>1479</v>
      </c>
    </row>
    <row r="367" spans="1:13" ht="49.5" customHeight="1" x14ac:dyDescent="0.3">
      <c r="A367" s="298" t="s">
        <v>626</v>
      </c>
      <c r="B367" s="74" t="str">
        <f>VLOOKUP(A367,URS確認!$E:$F,2,FALSE)</f>
        <v>產生員工扣薪報表</v>
      </c>
      <c r="C367" s="298">
        <v>2</v>
      </c>
      <c r="D367" s="74" t="s">
        <v>1845</v>
      </c>
      <c r="E367" s="71">
        <v>44468</v>
      </c>
      <c r="F367" s="71">
        <v>44545</v>
      </c>
      <c r="I367" s="298" t="s">
        <v>179</v>
      </c>
      <c r="M367" s="298" t="s">
        <v>1495</v>
      </c>
    </row>
    <row r="368" spans="1:13" x14ac:dyDescent="0.3">
      <c r="A368" s="298" t="s">
        <v>778</v>
      </c>
      <c r="B368" s="69" t="str">
        <f>VLOOKUP(A368,URS確認!$E:$F,2,FALSE)</f>
        <v>日結明細查詢</v>
      </c>
      <c r="C368" s="298">
        <v>1</v>
      </c>
      <c r="D368" s="74" t="s">
        <v>1846</v>
      </c>
      <c r="E368" s="71">
        <v>44468</v>
      </c>
      <c r="F368" s="71">
        <v>44477</v>
      </c>
      <c r="G368" s="71">
        <v>44477</v>
      </c>
      <c r="H368" s="71">
        <v>44477</v>
      </c>
      <c r="I368" s="298" t="str">
        <f>VLOOKUP(A368,URS確認!E:I,5,FALSE)</f>
        <v>楊智誠</v>
      </c>
      <c r="L368" s="298" t="s">
        <v>1479</v>
      </c>
    </row>
    <row r="369" spans="1:13" ht="33" customHeight="1" x14ac:dyDescent="0.3">
      <c r="B369" s="69" t="s">
        <v>1847</v>
      </c>
      <c r="C369" s="298">
        <v>1</v>
      </c>
      <c r="D369" s="74" t="s">
        <v>1848</v>
      </c>
      <c r="E369" s="71">
        <v>44468</v>
      </c>
      <c r="F369" s="71">
        <v>44469</v>
      </c>
      <c r="G369" s="71">
        <v>44469</v>
      </c>
      <c r="H369" s="71">
        <v>44469</v>
      </c>
      <c r="I369" s="298" t="s">
        <v>179</v>
      </c>
      <c r="L369" s="298" t="s">
        <v>1479</v>
      </c>
    </row>
    <row r="370" spans="1:13" ht="49.5" customHeight="1" x14ac:dyDescent="0.3">
      <c r="B370" s="69" t="s">
        <v>1847</v>
      </c>
      <c r="C370" s="298">
        <v>2</v>
      </c>
      <c r="D370" s="74" t="s">
        <v>1849</v>
      </c>
      <c r="E370" s="71">
        <v>44468</v>
      </c>
      <c r="F370" s="71">
        <v>44469</v>
      </c>
      <c r="G370" s="71">
        <v>44469</v>
      </c>
      <c r="H370" s="71">
        <v>44469</v>
      </c>
      <c r="I370" s="298" t="s">
        <v>179</v>
      </c>
      <c r="L370" s="298" t="s">
        <v>1479</v>
      </c>
    </row>
    <row r="371" spans="1:13" x14ac:dyDescent="0.3">
      <c r="A371" s="298" t="s">
        <v>623</v>
      </c>
      <c r="B371" s="69" t="str">
        <f>VLOOKUP(A371,URS確認!$E:$F,2,FALSE)</f>
        <v xml:space="preserve">入帳檔上傳作業                       </v>
      </c>
      <c r="C371" s="298">
        <v>1</v>
      </c>
      <c r="D371" s="74" t="s">
        <v>1850</v>
      </c>
      <c r="E371" s="71">
        <v>44470</v>
      </c>
      <c r="F371" s="71">
        <v>44504</v>
      </c>
      <c r="G371" s="71">
        <v>44504</v>
      </c>
      <c r="H371" s="71">
        <v>44504</v>
      </c>
      <c r="I371" s="298" t="s">
        <v>179</v>
      </c>
    </row>
    <row r="372" spans="1:13" x14ac:dyDescent="0.3">
      <c r="A372" s="298" t="s">
        <v>361</v>
      </c>
      <c r="B372" s="69" t="str">
        <f>VLOOKUP(A372,URS確認!$E:$F,2,FALSE)</f>
        <v xml:space="preserve">應處理清單      </v>
      </c>
      <c r="C372" s="298">
        <v>1</v>
      </c>
      <c r="D372" s="74" t="s">
        <v>1851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8" t="str">
        <f>VLOOKUP(A372,URS確認!E:I,5,FALSE)</f>
        <v>余家興</v>
      </c>
      <c r="L372" s="298" t="s">
        <v>1479</v>
      </c>
    </row>
    <row r="373" spans="1:13" x14ac:dyDescent="0.3">
      <c r="A373" s="298" t="s">
        <v>361</v>
      </c>
      <c r="B373" s="69" t="str">
        <f>VLOOKUP(A373,URS確認!$E:$F,2,FALSE)</f>
        <v xml:space="preserve">應處理清單      </v>
      </c>
      <c r="C373" s="298">
        <v>2</v>
      </c>
      <c r="D373" s="74" t="s">
        <v>1852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8" t="str">
        <f>VLOOKUP(A373,URS確認!E:I,5,FALSE)</f>
        <v>余家興</v>
      </c>
      <c r="L373" s="298" t="s">
        <v>1479</v>
      </c>
    </row>
    <row r="374" spans="1:13" x14ac:dyDescent="0.3">
      <c r="A374" s="298" t="s">
        <v>718</v>
      </c>
      <c r="B374" s="69" t="str">
        <f>VLOOKUP(A374,URS確認!$E:$F,2,FALSE)</f>
        <v xml:space="preserve">法拍費用明細資料查詢              </v>
      </c>
      <c r="C374" s="298">
        <v>1</v>
      </c>
      <c r="D374" s="74" t="s">
        <v>1853</v>
      </c>
      <c r="E374" s="71">
        <v>44475</v>
      </c>
      <c r="F374" s="71">
        <v>44475</v>
      </c>
      <c r="G374" s="71">
        <v>44475</v>
      </c>
      <c r="H374" s="71">
        <v>44475</v>
      </c>
      <c r="I374" s="298" t="str">
        <f>VLOOKUP(A374,URS確認!E:I,5,FALSE)</f>
        <v>陳昱衡</v>
      </c>
      <c r="L374" s="298" t="s">
        <v>1479</v>
      </c>
    </row>
    <row r="375" spans="1:13" ht="33" customHeight="1" x14ac:dyDescent="0.3">
      <c r="A375" s="298" t="s">
        <v>694</v>
      </c>
      <c r="B375" s="69" t="str">
        <f>VLOOKUP(A375,URS確認!$E:$F,2,FALSE)</f>
        <v xml:space="preserve">約定部分償還登錄         </v>
      </c>
      <c r="C375" s="298">
        <v>1</v>
      </c>
      <c r="D375" s="74" t="s">
        <v>1854</v>
      </c>
      <c r="E375" s="71">
        <v>44481</v>
      </c>
      <c r="F375" s="71">
        <v>44496</v>
      </c>
      <c r="G375" s="71">
        <v>44496</v>
      </c>
      <c r="H375" s="71">
        <v>44510</v>
      </c>
      <c r="I375" s="298" t="str">
        <f>VLOOKUP(A375,URS確認!E:I,5,FALSE)</f>
        <v>余家興</v>
      </c>
      <c r="M375" s="298" t="s">
        <v>1495</v>
      </c>
    </row>
    <row r="376" spans="1:13" x14ac:dyDescent="0.4">
      <c r="A376" s="298" t="s">
        <v>694</v>
      </c>
      <c r="B376" s="69" t="str">
        <f>VLOOKUP(A376,URS確認!$E:$F,2,FALSE)</f>
        <v xml:space="preserve">約定部分償還登錄         </v>
      </c>
      <c r="C376" s="298">
        <v>2</v>
      </c>
      <c r="D376" s="68" t="s">
        <v>1855</v>
      </c>
      <c r="E376" s="71">
        <v>44481</v>
      </c>
      <c r="F376" s="71">
        <v>44496</v>
      </c>
      <c r="G376" s="71">
        <v>44496</v>
      </c>
      <c r="H376" s="71">
        <v>44510</v>
      </c>
      <c r="I376" s="298" t="str">
        <f>VLOOKUP(A376,URS確認!E:I,5,FALSE)</f>
        <v>余家興</v>
      </c>
      <c r="M376" s="298" t="s">
        <v>1495</v>
      </c>
    </row>
    <row r="377" spans="1:13" ht="33" customHeight="1" x14ac:dyDescent="0.4">
      <c r="A377" s="298" t="s">
        <v>694</v>
      </c>
      <c r="B377" s="69" t="str">
        <f>VLOOKUP(A377,URS確認!$E:$F,2,FALSE)</f>
        <v xml:space="preserve">約定部分償還登錄         </v>
      </c>
      <c r="C377" s="298">
        <v>3</v>
      </c>
      <c r="D377" s="210" t="s">
        <v>1856</v>
      </c>
      <c r="E377" s="71">
        <v>44481</v>
      </c>
      <c r="F377" s="71">
        <v>44510</v>
      </c>
      <c r="G377" s="71">
        <v>44510</v>
      </c>
      <c r="H377" s="71">
        <v>44510</v>
      </c>
      <c r="I377" s="298" t="str">
        <f>VLOOKUP(A377,URS確認!E:I,5,FALSE)</f>
        <v>余家興</v>
      </c>
      <c r="M377" s="298" t="s">
        <v>1495</v>
      </c>
    </row>
    <row r="378" spans="1:13" ht="264" customHeight="1" x14ac:dyDescent="0.4">
      <c r="A378" s="298" t="s">
        <v>694</v>
      </c>
      <c r="B378" s="69" t="str">
        <f>VLOOKUP(A378,URS確認!$E:$F,2,FALSE)</f>
        <v xml:space="preserve">約定部分償還登錄         </v>
      </c>
      <c r="C378" s="298">
        <v>4</v>
      </c>
      <c r="D378" s="210" t="s">
        <v>1857</v>
      </c>
      <c r="E378" s="71">
        <v>44481</v>
      </c>
      <c r="F378" s="71">
        <v>44510</v>
      </c>
      <c r="G378" s="71">
        <v>44510</v>
      </c>
      <c r="H378" s="71">
        <v>44510</v>
      </c>
      <c r="I378" s="298" t="str">
        <f>VLOOKUP(A378,URS確認!E:I,5,FALSE)</f>
        <v>余家興</v>
      </c>
      <c r="M378" s="298" t="s">
        <v>1495</v>
      </c>
    </row>
    <row r="379" spans="1:13" ht="66" customHeight="1" x14ac:dyDescent="0.4">
      <c r="A379" s="298" t="s">
        <v>633</v>
      </c>
      <c r="B379" s="69" t="str">
        <f>VLOOKUP(A379,URS確認!$E:$F,2,FALSE)</f>
        <v xml:space="preserve">整批入帳作業                         </v>
      </c>
      <c r="C379" s="298">
        <v>1</v>
      </c>
      <c r="D379" s="210" t="s">
        <v>2897</v>
      </c>
      <c r="E379" s="71">
        <v>44481</v>
      </c>
      <c r="F379" s="71">
        <v>44512</v>
      </c>
      <c r="G379" s="71">
        <v>44512</v>
      </c>
      <c r="H379" s="71">
        <v>44512</v>
      </c>
      <c r="I379" s="298" t="s">
        <v>179</v>
      </c>
      <c r="M379" s="298" t="s">
        <v>1495</v>
      </c>
    </row>
    <row r="380" spans="1:13" x14ac:dyDescent="0.4">
      <c r="A380" s="298" t="s">
        <v>633</v>
      </c>
      <c r="B380" s="69" t="str">
        <f>VLOOKUP(A380,URS確認!$E:$F,2,FALSE)</f>
        <v xml:space="preserve">整批入帳作業                         </v>
      </c>
      <c r="C380" s="298">
        <v>2</v>
      </c>
      <c r="D380" s="210" t="s">
        <v>1858</v>
      </c>
      <c r="E380" s="71">
        <v>44481</v>
      </c>
      <c r="F380" s="71">
        <v>44504</v>
      </c>
      <c r="G380" s="71">
        <v>44504</v>
      </c>
      <c r="H380" s="71">
        <v>44504</v>
      </c>
      <c r="I380" s="298" t="s">
        <v>179</v>
      </c>
      <c r="L380" s="298" t="s">
        <v>1479</v>
      </c>
    </row>
    <row r="381" spans="1:13" x14ac:dyDescent="0.4">
      <c r="A381" s="298" t="s">
        <v>633</v>
      </c>
      <c r="B381" s="69" t="str">
        <f>VLOOKUP(A381,URS確認!$E:$F,2,FALSE)</f>
        <v xml:space="preserve">整批入帳作業                         </v>
      </c>
      <c r="C381" s="298">
        <v>3</v>
      </c>
      <c r="D381" s="210" t="s">
        <v>1859</v>
      </c>
      <c r="E381" s="71">
        <v>44481</v>
      </c>
      <c r="F381" s="71">
        <v>44504</v>
      </c>
      <c r="G381" s="71">
        <v>44504</v>
      </c>
      <c r="H381" s="71">
        <v>44504</v>
      </c>
      <c r="I381" s="298" t="s">
        <v>179</v>
      </c>
      <c r="L381" s="298" t="s">
        <v>1479</v>
      </c>
    </row>
    <row r="382" spans="1:13" ht="33" customHeight="1" x14ac:dyDescent="0.4">
      <c r="A382" s="298" t="s">
        <v>661</v>
      </c>
      <c r="B382" s="69" t="str">
        <f>VLOOKUP(A382,URS確認!$E:$F,2,FALSE)</f>
        <v xml:space="preserve">其他還款來源建檔                     </v>
      </c>
      <c r="C382" s="298">
        <v>1</v>
      </c>
      <c r="D382" s="210" t="s">
        <v>1860</v>
      </c>
      <c r="E382" s="71">
        <v>44481</v>
      </c>
      <c r="F382" s="71">
        <v>44504</v>
      </c>
      <c r="G382" s="71">
        <v>44504</v>
      </c>
      <c r="H382" s="71">
        <v>44504</v>
      </c>
      <c r="I382" s="298" t="s">
        <v>179</v>
      </c>
      <c r="L382" s="298" t="s">
        <v>1479</v>
      </c>
    </row>
    <row r="383" spans="1:13" x14ac:dyDescent="0.4">
      <c r="A383" s="298" t="s">
        <v>665</v>
      </c>
      <c r="B383" s="69" t="str">
        <f>VLOOKUP(A383,URS確認!$E:$F,2,FALSE)</f>
        <v>匯款轉帳-明細維護</v>
      </c>
      <c r="C383" s="298">
        <v>1</v>
      </c>
      <c r="D383" s="210" t="s">
        <v>1861</v>
      </c>
      <c r="E383" s="71">
        <v>44481</v>
      </c>
      <c r="F383" s="71">
        <v>44504</v>
      </c>
      <c r="G383" s="71">
        <v>44504</v>
      </c>
      <c r="H383" s="71">
        <v>44504</v>
      </c>
      <c r="I383" s="298" t="s">
        <v>179</v>
      </c>
      <c r="L383" s="298" t="s">
        <v>1479</v>
      </c>
    </row>
    <row r="384" spans="1:13" x14ac:dyDescent="0.4">
      <c r="A384" s="298" t="s">
        <v>665</v>
      </c>
      <c r="B384" s="69" t="str">
        <f>VLOOKUP(A384,URS確認!$E:$F,2,FALSE)</f>
        <v>匯款轉帳-明細維護</v>
      </c>
      <c r="C384" s="298">
        <v>2</v>
      </c>
      <c r="D384" s="210" t="s">
        <v>1862</v>
      </c>
      <c r="E384" s="71">
        <v>44481</v>
      </c>
      <c r="F384" s="71">
        <v>44504</v>
      </c>
      <c r="G384" s="71">
        <v>44504</v>
      </c>
      <c r="H384" s="71">
        <v>44504</v>
      </c>
      <c r="I384" s="298" t="s">
        <v>179</v>
      </c>
      <c r="L384" s="298" t="s">
        <v>1479</v>
      </c>
    </row>
    <row r="385" spans="1:13" x14ac:dyDescent="0.4">
      <c r="A385" s="298" t="s">
        <v>640</v>
      </c>
      <c r="B385" s="69" t="str">
        <f>VLOOKUP(A385,URS確認!$E:$F,2,FALSE)</f>
        <v>整批入帳明細查詢</v>
      </c>
      <c r="C385" s="298">
        <v>1</v>
      </c>
      <c r="D385" s="252" t="s">
        <v>1863</v>
      </c>
      <c r="E385" s="71">
        <v>44481</v>
      </c>
      <c r="F385" s="71">
        <v>44512</v>
      </c>
      <c r="G385" s="71">
        <v>44508</v>
      </c>
      <c r="H385" s="71">
        <v>44508</v>
      </c>
      <c r="I385" s="298" t="s">
        <v>179</v>
      </c>
      <c r="L385" s="298" t="s">
        <v>1479</v>
      </c>
    </row>
    <row r="386" spans="1:13" x14ac:dyDescent="0.4">
      <c r="A386" s="298" t="s">
        <v>640</v>
      </c>
      <c r="B386" s="69" t="str">
        <f>VLOOKUP(A386,URS確認!$E:$F,2,FALSE)</f>
        <v>整批入帳明細查詢</v>
      </c>
      <c r="C386" s="298">
        <v>2</v>
      </c>
      <c r="D386" s="210" t="s">
        <v>1864</v>
      </c>
      <c r="E386" s="71">
        <v>44481</v>
      </c>
      <c r="F386" s="71">
        <v>44504</v>
      </c>
      <c r="G386" s="71">
        <v>44504</v>
      </c>
      <c r="H386" s="71">
        <v>44504</v>
      </c>
      <c r="I386" s="298" t="s">
        <v>179</v>
      </c>
      <c r="L386" s="298" t="s">
        <v>1479</v>
      </c>
    </row>
    <row r="387" spans="1:13" ht="34" x14ac:dyDescent="0.4">
      <c r="A387" s="298" t="s">
        <v>669</v>
      </c>
      <c r="B387" s="74" t="str">
        <f>VLOOKUP(A387,URS確認!$E:$F,2,FALSE)</f>
        <v xml:space="preserve">產生放款本息攤還表暨繳息通知單       </v>
      </c>
      <c r="C387" s="298">
        <v>1</v>
      </c>
      <c r="D387" s="210" t="s">
        <v>1865</v>
      </c>
      <c r="E387" s="71">
        <v>44481</v>
      </c>
      <c r="F387" s="71">
        <v>44554</v>
      </c>
      <c r="G387" s="298"/>
      <c r="I387" s="298" t="s">
        <v>1866</v>
      </c>
      <c r="L387" s="298" t="s">
        <v>1479</v>
      </c>
    </row>
    <row r="388" spans="1:13" ht="34" x14ac:dyDescent="0.4">
      <c r="A388" s="298" t="s">
        <v>669</v>
      </c>
      <c r="B388" s="74" t="str">
        <f>VLOOKUP(A388,URS確認!$E:$F,2,FALSE)</f>
        <v xml:space="preserve">產生放款本息攤還表暨繳息通知單       </v>
      </c>
      <c r="C388" s="298">
        <v>2</v>
      </c>
      <c r="D388" s="68" t="s">
        <v>1867</v>
      </c>
      <c r="E388" s="71">
        <v>44481</v>
      </c>
      <c r="F388" s="71">
        <v>44554</v>
      </c>
      <c r="G388" s="298"/>
      <c r="I388" s="298" t="s">
        <v>1866</v>
      </c>
      <c r="M388" s="298" t="s">
        <v>1495</v>
      </c>
    </row>
    <row r="389" spans="1:13" x14ac:dyDescent="0.4">
      <c r="A389" s="298" t="s">
        <v>671</v>
      </c>
      <c r="B389" s="74" t="str">
        <f>VLOOKUP(A389,URS確認!$E:$F,2,FALSE)</f>
        <v xml:space="preserve">產生滯繳通知單                       </v>
      </c>
      <c r="C389" s="298">
        <v>1</v>
      </c>
      <c r="D389" s="210" t="s">
        <v>1865</v>
      </c>
      <c r="E389" s="71">
        <v>44481</v>
      </c>
      <c r="F389" s="71">
        <v>44554</v>
      </c>
      <c r="G389" s="298"/>
      <c r="I389" s="298" t="s">
        <v>1866</v>
      </c>
      <c r="L389" s="298" t="s">
        <v>1479</v>
      </c>
    </row>
    <row r="390" spans="1:13" x14ac:dyDescent="0.4">
      <c r="A390" s="298" t="s">
        <v>671</v>
      </c>
      <c r="B390" s="74" t="str">
        <f>VLOOKUP(A390,URS確認!$E:$F,2,FALSE)</f>
        <v xml:space="preserve">產生滯繳通知單                       </v>
      </c>
      <c r="C390" s="298">
        <v>2</v>
      </c>
      <c r="D390" s="210" t="s">
        <v>1867</v>
      </c>
      <c r="E390" s="71">
        <v>44481</v>
      </c>
      <c r="F390" s="71">
        <v>44554</v>
      </c>
      <c r="G390" s="298"/>
      <c r="I390" s="298" t="s">
        <v>1866</v>
      </c>
      <c r="M390" s="298" t="s">
        <v>1495</v>
      </c>
    </row>
    <row r="391" spans="1:13" ht="49.5" customHeight="1" x14ac:dyDescent="0.4">
      <c r="A391" s="298" t="s">
        <v>2895</v>
      </c>
      <c r="B391" s="69" t="s">
        <v>1868</v>
      </c>
      <c r="C391" s="298">
        <v>1</v>
      </c>
      <c r="D391" s="210" t="s">
        <v>2896</v>
      </c>
      <c r="E391" s="71">
        <v>44481</v>
      </c>
      <c r="F391" s="71">
        <v>44512</v>
      </c>
      <c r="G391" s="71">
        <v>44512</v>
      </c>
      <c r="H391" s="71">
        <v>44512</v>
      </c>
      <c r="I391" s="298" t="s">
        <v>179</v>
      </c>
      <c r="L391" s="298" t="s">
        <v>1870</v>
      </c>
    </row>
    <row r="392" spans="1:13" ht="66" customHeight="1" x14ac:dyDescent="0.4">
      <c r="A392" s="597" t="s">
        <v>2724</v>
      </c>
      <c r="B392" s="74" t="s">
        <v>1868</v>
      </c>
      <c r="C392" s="298">
        <v>2</v>
      </c>
      <c r="D392" s="210" t="s">
        <v>1871</v>
      </c>
      <c r="E392" s="71">
        <v>44481</v>
      </c>
      <c r="F392" s="71">
        <v>44554</v>
      </c>
      <c r="G392" s="298"/>
      <c r="I392" s="298" t="s">
        <v>179</v>
      </c>
      <c r="L392" s="298" t="s">
        <v>1479</v>
      </c>
    </row>
    <row r="393" spans="1:13" ht="33" customHeight="1" x14ac:dyDescent="0.4">
      <c r="A393" s="597" t="s">
        <v>2724</v>
      </c>
      <c r="B393" s="74" t="s">
        <v>1868</v>
      </c>
      <c r="C393" s="298">
        <v>3</v>
      </c>
      <c r="D393" s="210" t="s">
        <v>1872</v>
      </c>
      <c r="E393" s="71">
        <v>44481</v>
      </c>
      <c r="F393" s="71">
        <v>44554</v>
      </c>
      <c r="G393" s="298"/>
      <c r="I393" s="298" t="s">
        <v>179</v>
      </c>
      <c r="L393" s="298" t="s">
        <v>1479</v>
      </c>
    </row>
    <row r="394" spans="1:13" ht="33" customHeight="1" x14ac:dyDescent="0.4">
      <c r="B394" s="69" t="s">
        <v>1873</v>
      </c>
      <c r="C394" s="298">
        <v>1</v>
      </c>
      <c r="D394" s="210" t="s">
        <v>1874</v>
      </c>
      <c r="E394" s="71">
        <v>44481</v>
      </c>
      <c r="F394" s="71">
        <v>44530</v>
      </c>
      <c r="G394" s="71">
        <v>44530</v>
      </c>
      <c r="H394" s="71">
        <v>44530</v>
      </c>
      <c r="I394" s="298" t="s">
        <v>179</v>
      </c>
      <c r="L394" s="298" t="s">
        <v>1479</v>
      </c>
    </row>
    <row r="395" spans="1:13" x14ac:dyDescent="0.4">
      <c r="A395" s="298" t="s">
        <v>694</v>
      </c>
      <c r="B395" s="69" t="str">
        <f>VLOOKUP(A395,URS確認!$E:$F,2,FALSE)</f>
        <v xml:space="preserve">約定部分償還登錄         </v>
      </c>
      <c r="C395" s="298">
        <v>1</v>
      </c>
      <c r="D395" s="210" t="s">
        <v>1875</v>
      </c>
      <c r="E395" s="71">
        <v>44482</v>
      </c>
      <c r="F395" s="71">
        <v>44496</v>
      </c>
      <c r="G395" s="71">
        <v>44496</v>
      </c>
      <c r="H395" s="71">
        <v>44510</v>
      </c>
      <c r="I395" s="298" t="str">
        <f>VLOOKUP(A395,URS確認!E:I,5,FALSE)</f>
        <v>余家興</v>
      </c>
      <c r="L395" s="298" t="s">
        <v>1479</v>
      </c>
    </row>
    <row r="396" spans="1:13" ht="33" customHeight="1" x14ac:dyDescent="0.4">
      <c r="A396" s="298" t="s">
        <v>694</v>
      </c>
      <c r="B396" s="69" t="str">
        <f>VLOOKUP(A396,URS確認!$E:$F,2,FALSE)</f>
        <v xml:space="preserve">約定部分償還登錄         </v>
      </c>
      <c r="C396" s="298">
        <v>2</v>
      </c>
      <c r="D396" s="210" t="s">
        <v>1876</v>
      </c>
      <c r="E396" s="71">
        <v>44482</v>
      </c>
      <c r="F396" s="71">
        <v>44496</v>
      </c>
      <c r="G396" s="71">
        <v>44496</v>
      </c>
      <c r="H396" s="71">
        <v>44510</v>
      </c>
      <c r="I396" s="298" t="str">
        <f>VLOOKUP(A396,URS確認!E:I,5,FALSE)</f>
        <v>余家興</v>
      </c>
      <c r="L396" s="298" t="s">
        <v>1479</v>
      </c>
    </row>
    <row r="397" spans="1:13" x14ac:dyDescent="0.4">
      <c r="A397" s="298" t="s">
        <v>694</v>
      </c>
      <c r="B397" s="69" t="str">
        <f>VLOOKUP(A397,URS確認!$E:$F,2,FALSE)</f>
        <v xml:space="preserve">約定部分償還登錄         </v>
      </c>
      <c r="C397" s="298">
        <v>3</v>
      </c>
      <c r="D397" s="210" t="s">
        <v>1877</v>
      </c>
      <c r="E397" s="71">
        <v>44482</v>
      </c>
      <c r="F397" s="71">
        <v>44510</v>
      </c>
      <c r="G397" s="71">
        <v>44510</v>
      </c>
      <c r="H397" s="71">
        <v>44510</v>
      </c>
      <c r="I397" s="298" t="str">
        <f>VLOOKUP(A397,URS確認!E:I,5,FALSE)</f>
        <v>余家興</v>
      </c>
      <c r="M397" s="298" t="s">
        <v>1495</v>
      </c>
    </row>
    <row r="398" spans="1:13" x14ac:dyDescent="0.4">
      <c r="A398" s="298" t="s">
        <v>694</v>
      </c>
      <c r="B398" s="69" t="str">
        <f>VLOOKUP(A398,URS確認!$E:$F,2,FALSE)</f>
        <v xml:space="preserve">約定部分償還登錄         </v>
      </c>
      <c r="C398" s="298">
        <v>4</v>
      </c>
      <c r="D398" s="210" t="s">
        <v>1878</v>
      </c>
      <c r="E398" s="71">
        <v>44482</v>
      </c>
      <c r="F398" s="71">
        <v>44510</v>
      </c>
      <c r="G398" s="71">
        <v>44510</v>
      </c>
      <c r="H398" s="71">
        <v>44510</v>
      </c>
      <c r="I398" s="298" t="str">
        <f>VLOOKUP(A398,URS確認!E:I,5,FALSE)</f>
        <v>余家興</v>
      </c>
      <c r="M398" s="298" t="s">
        <v>1495</v>
      </c>
    </row>
    <row r="399" spans="1:13" x14ac:dyDescent="0.4">
      <c r="A399" s="298" t="s">
        <v>694</v>
      </c>
      <c r="B399" s="69" t="str">
        <f>VLOOKUP(A399,URS確認!$E:$F,2,FALSE)</f>
        <v xml:space="preserve">約定部分償還登錄         </v>
      </c>
      <c r="C399" s="298">
        <v>5</v>
      </c>
      <c r="D399" s="210" t="s">
        <v>1879</v>
      </c>
      <c r="E399" s="71">
        <v>44482</v>
      </c>
      <c r="F399" s="71">
        <v>44510</v>
      </c>
      <c r="G399" s="71">
        <v>44510</v>
      </c>
      <c r="H399" s="71">
        <v>44510</v>
      </c>
      <c r="I399" s="298" t="str">
        <f>VLOOKUP(A399,URS確認!E:I,5,FALSE)</f>
        <v>余家興</v>
      </c>
      <c r="M399" s="298" t="s">
        <v>1495</v>
      </c>
    </row>
    <row r="400" spans="1:13" ht="33" customHeight="1" x14ac:dyDescent="0.4">
      <c r="A400" s="298" t="s">
        <v>694</v>
      </c>
      <c r="B400" s="69" t="str">
        <f>VLOOKUP(A400,URS確認!$E:$F,2,FALSE)</f>
        <v xml:space="preserve">約定部分償還登錄         </v>
      </c>
      <c r="C400" s="298">
        <v>6</v>
      </c>
      <c r="D400" s="210" t="s">
        <v>1880</v>
      </c>
      <c r="E400" s="71">
        <v>44482</v>
      </c>
      <c r="F400" s="71">
        <v>44496</v>
      </c>
      <c r="G400" s="71">
        <v>44496</v>
      </c>
      <c r="H400" s="71">
        <v>44510</v>
      </c>
      <c r="I400" s="298" t="str">
        <f>VLOOKUP(A400,URS確認!E:I,5,FALSE)</f>
        <v>余家興</v>
      </c>
      <c r="L400" s="298" t="s">
        <v>1479</v>
      </c>
    </row>
    <row r="401" spans="1:13" x14ac:dyDescent="0.4">
      <c r="A401" s="298" t="s">
        <v>694</v>
      </c>
      <c r="B401" s="69" t="str">
        <f>VLOOKUP(A401,URS確認!$E:$F,2,FALSE)</f>
        <v xml:space="preserve">約定部分償還登錄         </v>
      </c>
      <c r="C401" s="298">
        <v>7</v>
      </c>
      <c r="D401" s="210" t="s">
        <v>1881</v>
      </c>
      <c r="E401" s="71">
        <v>44482</v>
      </c>
      <c r="F401" s="71">
        <v>44496</v>
      </c>
      <c r="G401" s="71">
        <v>44496</v>
      </c>
      <c r="H401" s="71">
        <v>44510</v>
      </c>
      <c r="I401" s="298" t="str">
        <f>VLOOKUP(A401,URS確認!E:I,5,FALSE)</f>
        <v>余家興</v>
      </c>
      <c r="L401" s="298" t="s">
        <v>1479</v>
      </c>
    </row>
    <row r="402" spans="1:13" x14ac:dyDescent="0.4">
      <c r="A402" s="298" t="s">
        <v>943</v>
      </c>
      <c r="B402" s="69" t="str">
        <f>VLOOKUP(A402,URS確認!$E:$F,2,FALSE)</f>
        <v>疑似洗錢交易訪談記錄維護</v>
      </c>
      <c r="C402" s="298">
        <v>1</v>
      </c>
      <c r="D402" s="210" t="s">
        <v>1882</v>
      </c>
      <c r="E402" s="71">
        <v>44482</v>
      </c>
      <c r="F402" s="71">
        <v>44494</v>
      </c>
      <c r="G402" s="71">
        <v>44494</v>
      </c>
      <c r="H402" s="71">
        <v>44494</v>
      </c>
      <c r="I402" s="298" t="str">
        <f>VLOOKUP(A402,URS確認!E:I,5,FALSE)</f>
        <v>楊智誠</v>
      </c>
      <c r="L402" s="298" t="s">
        <v>1479</v>
      </c>
    </row>
    <row r="403" spans="1:13" ht="49.5" customHeight="1" x14ac:dyDescent="0.4">
      <c r="A403" s="298" t="s">
        <v>943</v>
      </c>
      <c r="B403" s="69" t="str">
        <f>VLOOKUP(A403,URS確認!$E:$F,2,FALSE)</f>
        <v>疑似洗錢交易訪談記錄維護</v>
      </c>
      <c r="C403" s="298">
        <v>2</v>
      </c>
      <c r="D403" s="210" t="s">
        <v>1883</v>
      </c>
      <c r="E403" s="71">
        <v>44482</v>
      </c>
      <c r="F403" s="71">
        <v>44494</v>
      </c>
      <c r="G403" s="71">
        <v>44494</v>
      </c>
      <c r="H403" s="71">
        <v>44494</v>
      </c>
      <c r="I403" s="298" t="str">
        <f>VLOOKUP(A403,URS確認!E:I,5,FALSE)</f>
        <v>楊智誠</v>
      </c>
      <c r="L403" s="298" t="s">
        <v>1479</v>
      </c>
    </row>
    <row r="404" spans="1:13" ht="49.5" customHeight="1" x14ac:dyDescent="0.4">
      <c r="A404" s="298" t="s">
        <v>943</v>
      </c>
      <c r="B404" s="69" t="str">
        <f>VLOOKUP(A404,URS確認!$E:$F,2,FALSE)</f>
        <v>疑似洗錢交易訪談記錄維護</v>
      </c>
      <c r="C404" s="298">
        <v>3</v>
      </c>
      <c r="D404" s="210" t="s">
        <v>1884</v>
      </c>
      <c r="E404" s="71">
        <v>44482</v>
      </c>
      <c r="F404" s="71">
        <v>44494</v>
      </c>
      <c r="G404" s="71">
        <v>44494</v>
      </c>
      <c r="H404" s="71">
        <v>44494</v>
      </c>
      <c r="I404" s="298" t="str">
        <f>VLOOKUP(A404,URS確認!E:I,5,FALSE)</f>
        <v>楊智誠</v>
      </c>
      <c r="L404" s="298" t="s">
        <v>1479</v>
      </c>
    </row>
    <row r="405" spans="1:13" x14ac:dyDescent="0.4">
      <c r="A405" s="298" t="s">
        <v>689</v>
      </c>
      <c r="B405" s="69" t="str">
        <f>VLOOKUP(A405,URS確認!$E:$F,2,FALSE)</f>
        <v xml:space="preserve">變更期款試算             </v>
      </c>
      <c r="C405" s="298">
        <v>1</v>
      </c>
      <c r="D405" s="210" t="s">
        <v>1885</v>
      </c>
      <c r="E405" s="71">
        <v>44482</v>
      </c>
      <c r="F405" s="71">
        <v>44510</v>
      </c>
      <c r="G405" s="71">
        <v>44510</v>
      </c>
      <c r="H405" s="71">
        <v>44510</v>
      </c>
      <c r="I405" s="298" t="str">
        <f>VLOOKUP(A405,URS確認!E:I,5,FALSE)</f>
        <v>余家興</v>
      </c>
      <c r="L405" s="298" t="s">
        <v>1479</v>
      </c>
    </row>
    <row r="406" spans="1:13" ht="49.5" customHeight="1" x14ac:dyDescent="0.4">
      <c r="A406" s="298" t="s">
        <v>689</v>
      </c>
      <c r="B406" s="69" t="str">
        <f>VLOOKUP(A406,URS確認!$E:$F,2,FALSE)</f>
        <v xml:space="preserve">變更期款試算             </v>
      </c>
      <c r="C406" s="298">
        <v>2</v>
      </c>
      <c r="D406" s="210" t="s">
        <v>1886</v>
      </c>
      <c r="E406" s="71">
        <v>44482</v>
      </c>
      <c r="F406" s="71">
        <v>44510</v>
      </c>
      <c r="G406" s="71">
        <v>44510</v>
      </c>
      <c r="H406" s="71">
        <v>44510</v>
      </c>
      <c r="I406" s="298" t="str">
        <f>VLOOKUP(A406,URS確認!E:I,5,FALSE)</f>
        <v>余家興</v>
      </c>
      <c r="M406" s="298" t="s">
        <v>1495</v>
      </c>
    </row>
    <row r="407" spans="1:13" x14ac:dyDescent="0.4">
      <c r="A407" s="298" t="s">
        <v>699</v>
      </c>
      <c r="B407" s="69" t="str">
        <f>VLOOKUP(A407,URS確認!$E:$F,2,FALSE)</f>
        <v>暫收款銷帳</v>
      </c>
      <c r="C407" s="298">
        <v>1</v>
      </c>
      <c r="D407" s="210" t="s">
        <v>1887</v>
      </c>
      <c r="E407" s="71">
        <v>44482</v>
      </c>
      <c r="F407" s="71">
        <v>44510</v>
      </c>
      <c r="G407" s="71">
        <v>44510</v>
      </c>
      <c r="H407" s="71">
        <v>44510</v>
      </c>
      <c r="I407" s="298" t="str">
        <f>VLOOKUP(A407,URS確認!E:I,5,FALSE)</f>
        <v>余家興</v>
      </c>
      <c r="L407" s="298" t="s">
        <v>1479</v>
      </c>
    </row>
    <row r="408" spans="1:13" ht="34" customHeight="1" x14ac:dyDescent="0.4">
      <c r="B408" s="69" t="s">
        <v>1888</v>
      </c>
      <c r="C408" s="298">
        <v>1</v>
      </c>
      <c r="D408" s="210" t="s">
        <v>1889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8" t="s">
        <v>123</v>
      </c>
      <c r="L408" s="298" t="s">
        <v>1547</v>
      </c>
    </row>
    <row r="409" spans="1:13" x14ac:dyDescent="0.4">
      <c r="B409" s="69" t="s">
        <v>1888</v>
      </c>
      <c r="C409" s="298">
        <v>2</v>
      </c>
      <c r="D409" s="210" t="s">
        <v>1890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8" t="s">
        <v>123</v>
      </c>
      <c r="L409" s="298" t="s">
        <v>1547</v>
      </c>
    </row>
    <row r="410" spans="1:13" x14ac:dyDescent="0.4">
      <c r="B410" s="69" t="s">
        <v>1888</v>
      </c>
      <c r="C410" s="298">
        <v>3</v>
      </c>
      <c r="D410" s="210" t="s">
        <v>1891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8" t="s">
        <v>123</v>
      </c>
      <c r="L410" s="298" t="s">
        <v>1547</v>
      </c>
    </row>
    <row r="411" spans="1:13" ht="33" customHeight="1" x14ac:dyDescent="0.4">
      <c r="B411" s="69" t="s">
        <v>1888</v>
      </c>
      <c r="C411" s="298">
        <v>4</v>
      </c>
      <c r="D411" s="210" t="s">
        <v>1892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8" t="s">
        <v>123</v>
      </c>
    </row>
    <row r="412" spans="1:13" x14ac:dyDescent="0.4">
      <c r="B412" s="69" t="s">
        <v>1888</v>
      </c>
      <c r="C412" s="298">
        <v>5</v>
      </c>
      <c r="D412" s="210" t="s">
        <v>1893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8" t="s">
        <v>123</v>
      </c>
    </row>
    <row r="413" spans="1:13" x14ac:dyDescent="0.4">
      <c r="A413" s="298" t="s">
        <v>1122</v>
      </c>
      <c r="B413" s="69" t="str">
        <f>VLOOKUP(A413,URS確認!$E:$F,2,FALSE)</f>
        <v>消債條列JCIC報送資料歷程查詢(041)</v>
      </c>
      <c r="C413" s="298">
        <v>1</v>
      </c>
      <c r="D413" s="210" t="s">
        <v>1894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8" t="s">
        <v>123</v>
      </c>
    </row>
    <row r="414" spans="1:13" ht="33" customHeight="1" x14ac:dyDescent="0.4">
      <c r="A414" s="298" t="s">
        <v>1134</v>
      </c>
      <c r="B414" s="69" t="str">
        <f>VLOOKUP(A414,URS確認!$E:$F,2,FALSE)</f>
        <v>消債條列JCIC報送資料歷程查詢(047)</v>
      </c>
      <c r="C414" s="298">
        <v>1</v>
      </c>
      <c r="D414" s="210" t="s">
        <v>1895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8" t="s">
        <v>123</v>
      </c>
    </row>
    <row r="415" spans="1:13" x14ac:dyDescent="0.4">
      <c r="A415" s="298" t="s">
        <v>1136</v>
      </c>
      <c r="B415" s="69" t="str">
        <f>VLOOKUP(A415,URS確認!$E:$F,2,FALSE)</f>
        <v>消債條列JCIC報送資料歷程查詢(048)</v>
      </c>
      <c r="C415" s="298">
        <v>1</v>
      </c>
      <c r="D415" s="210" t="s">
        <v>1896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8" t="s">
        <v>123</v>
      </c>
    </row>
    <row r="416" spans="1:13" x14ac:dyDescent="0.4">
      <c r="A416" s="298" t="s">
        <v>1182</v>
      </c>
      <c r="B416" s="69" t="str">
        <f>VLOOKUP(A416,URS確認!$E:$F,2,FALSE)</f>
        <v>消債條列JCIC報送資料歷程查詢(570)</v>
      </c>
      <c r="C416" s="298">
        <v>1</v>
      </c>
      <c r="D416" s="210" t="s">
        <v>1897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8" t="s">
        <v>123</v>
      </c>
    </row>
    <row r="417" spans="1:13" x14ac:dyDescent="0.4">
      <c r="A417" s="298" t="s">
        <v>623</v>
      </c>
      <c r="B417" s="69" t="str">
        <f>VLOOKUP(A417,URS確認!$E:$F,2,FALSE)</f>
        <v xml:space="preserve">入帳檔上傳作業                       </v>
      </c>
      <c r="C417" s="298">
        <v>1</v>
      </c>
      <c r="D417" s="210" t="s">
        <v>1898</v>
      </c>
      <c r="E417" s="71">
        <v>44484</v>
      </c>
      <c r="F417" s="71">
        <v>44505</v>
      </c>
      <c r="G417" s="71">
        <v>44523</v>
      </c>
      <c r="H417" s="71">
        <v>44523</v>
      </c>
      <c r="I417" s="298" t="str">
        <f>VLOOKUP(A417,URS確認!E:I,5,FALSE)</f>
        <v>陳昱衡</v>
      </c>
    </row>
    <row r="418" spans="1:13" ht="49.5" customHeight="1" x14ac:dyDescent="0.4">
      <c r="A418" s="298" t="s">
        <v>650</v>
      </c>
      <c r="B418" s="69" t="str">
        <f>VLOOKUP(A418,URS確認!$E:$F,2,FALSE)</f>
        <v>產生銀扣失敗通知</v>
      </c>
      <c r="C418" s="298">
        <v>1</v>
      </c>
      <c r="D418" s="210" t="s">
        <v>1899</v>
      </c>
      <c r="E418" s="71">
        <v>44484</v>
      </c>
      <c r="F418" s="71">
        <v>44530</v>
      </c>
      <c r="G418" s="71">
        <v>44530</v>
      </c>
      <c r="H418" s="71">
        <v>44530</v>
      </c>
      <c r="I418" s="298" t="s">
        <v>179</v>
      </c>
    </row>
    <row r="419" spans="1:13" x14ac:dyDescent="0.4">
      <c r="A419" s="298" t="s">
        <v>644</v>
      </c>
      <c r="B419" s="69" t="str">
        <f>VLOOKUP(A419,URS確認!$E:$F,2,FALSE)</f>
        <v>整批勾選處理</v>
      </c>
      <c r="C419" s="298">
        <v>1</v>
      </c>
      <c r="D419" s="210" t="s">
        <v>1900</v>
      </c>
      <c r="E419" s="71">
        <v>44484</v>
      </c>
      <c r="F419" s="71">
        <v>44504</v>
      </c>
      <c r="G419" s="71">
        <v>44504</v>
      </c>
      <c r="H419" s="71">
        <v>44504</v>
      </c>
      <c r="I419" s="298" t="s">
        <v>179</v>
      </c>
    </row>
    <row r="420" spans="1:13" ht="33" customHeight="1" x14ac:dyDescent="0.4">
      <c r="A420" s="298" t="s">
        <v>633</v>
      </c>
      <c r="B420" s="69" t="str">
        <f>VLOOKUP(A420,URS確認!$E:$F,2,FALSE)</f>
        <v xml:space="preserve">整批入帳作業                         </v>
      </c>
      <c r="C420" s="298">
        <v>1</v>
      </c>
      <c r="D420" s="210" t="s">
        <v>1901</v>
      </c>
      <c r="E420" s="71">
        <v>44484</v>
      </c>
      <c r="F420" s="71">
        <v>44504</v>
      </c>
      <c r="G420" s="71">
        <v>44504</v>
      </c>
      <c r="H420" s="71">
        <v>44504</v>
      </c>
      <c r="I420" s="298" t="s">
        <v>179</v>
      </c>
    </row>
    <row r="421" spans="1:13" x14ac:dyDescent="0.4">
      <c r="A421" s="298" t="s">
        <v>633</v>
      </c>
      <c r="B421" s="69" t="str">
        <f>VLOOKUP(A421,URS確認!$E:$F,2,FALSE)</f>
        <v xml:space="preserve">整批入帳作業                         </v>
      </c>
      <c r="C421" s="298">
        <v>2</v>
      </c>
      <c r="D421" s="210" t="s">
        <v>1902</v>
      </c>
      <c r="E421" s="71">
        <v>44484</v>
      </c>
      <c r="F421" s="71">
        <v>44504</v>
      </c>
      <c r="G421" s="71">
        <v>44504</v>
      </c>
      <c r="H421" s="71">
        <v>44504</v>
      </c>
      <c r="I421" s="298" t="s">
        <v>179</v>
      </c>
    </row>
    <row r="422" spans="1:13" x14ac:dyDescent="0.4">
      <c r="A422" s="298" t="s">
        <v>642</v>
      </c>
      <c r="B422" s="69" t="str">
        <f>VLOOKUP(A422,URS確認!$E:$F,2,FALSE)</f>
        <v xml:space="preserve">整批入帳明細查詢(By日期區間)         </v>
      </c>
      <c r="C422" s="298">
        <v>1</v>
      </c>
      <c r="D422" s="210" t="s">
        <v>1903</v>
      </c>
      <c r="E422" s="71">
        <v>44484</v>
      </c>
      <c r="F422" s="71">
        <v>44510</v>
      </c>
      <c r="G422" s="71">
        <v>44510</v>
      </c>
      <c r="H422" s="71">
        <v>44510</v>
      </c>
      <c r="I422" s="298" t="s">
        <v>179</v>
      </c>
    </row>
    <row r="423" spans="1:13" ht="49.5" customHeight="1" x14ac:dyDescent="0.4">
      <c r="A423" s="298" t="s">
        <v>455</v>
      </c>
      <c r="B423" s="69" t="str">
        <f>VLOOKUP(A423,URS確認!$E:$F,2,FALSE)</f>
        <v xml:space="preserve">銀行扣款檔資料查詢                   </v>
      </c>
      <c r="C423" s="298">
        <v>1</v>
      </c>
      <c r="D423" s="210" t="s">
        <v>1904</v>
      </c>
      <c r="E423" s="71">
        <v>44484</v>
      </c>
      <c r="F423" s="71">
        <v>44504</v>
      </c>
      <c r="G423" s="71">
        <v>44504</v>
      </c>
      <c r="H423" s="71">
        <v>44504</v>
      </c>
      <c r="I423" s="298" t="s">
        <v>179</v>
      </c>
    </row>
    <row r="424" spans="1:13" x14ac:dyDescent="0.4">
      <c r="B424" s="69" t="s">
        <v>1868</v>
      </c>
      <c r="C424" s="298">
        <v>1</v>
      </c>
      <c r="D424" s="210" t="s">
        <v>1905</v>
      </c>
      <c r="E424" s="71">
        <v>44484</v>
      </c>
      <c r="F424" s="71">
        <v>44530</v>
      </c>
      <c r="G424" s="71">
        <v>44530</v>
      </c>
      <c r="H424" s="71">
        <v>44530</v>
      </c>
      <c r="I424" s="298" t="s">
        <v>179</v>
      </c>
    </row>
    <row r="425" spans="1:13" x14ac:dyDescent="0.4">
      <c r="B425" s="69" t="s">
        <v>1868</v>
      </c>
      <c r="C425" s="298">
        <v>2</v>
      </c>
      <c r="D425" s="210" t="s">
        <v>1906</v>
      </c>
      <c r="E425" s="71">
        <v>44484</v>
      </c>
      <c r="F425" s="71">
        <v>44530</v>
      </c>
      <c r="G425" s="71">
        <v>44530</v>
      </c>
      <c r="H425" s="71">
        <v>44530</v>
      </c>
      <c r="I425" s="298" t="s">
        <v>179</v>
      </c>
    </row>
    <row r="426" spans="1:13" ht="87.75" customHeight="1" x14ac:dyDescent="0.3">
      <c r="A426" s="298" t="s">
        <v>707</v>
      </c>
      <c r="B426" s="69" t="s">
        <v>1907</v>
      </c>
      <c r="C426" s="298">
        <v>1</v>
      </c>
      <c r="D426" s="74" t="s">
        <v>1908</v>
      </c>
      <c r="E426" s="71">
        <v>44487</v>
      </c>
      <c r="F426" s="71">
        <v>44496</v>
      </c>
      <c r="G426" s="71">
        <v>44496</v>
      </c>
      <c r="H426" s="71">
        <v>44510</v>
      </c>
      <c r="I426" s="298" t="str">
        <f>VLOOKUP(A426,URS確認!E:I,5,FALSE)</f>
        <v>余家興</v>
      </c>
      <c r="L426" s="298" t="s">
        <v>1479</v>
      </c>
    </row>
    <row r="427" spans="1:13" ht="34" x14ac:dyDescent="0.3">
      <c r="A427" s="298" t="s">
        <v>1909</v>
      </c>
      <c r="B427" s="74" t="s">
        <v>1910</v>
      </c>
      <c r="C427" s="298">
        <v>1</v>
      </c>
      <c r="D427" s="74" t="s">
        <v>1911</v>
      </c>
      <c r="E427" s="71">
        <v>44487</v>
      </c>
      <c r="F427" s="71">
        <v>44545</v>
      </c>
      <c r="G427" s="298"/>
      <c r="I427" s="298" t="s">
        <v>1530</v>
      </c>
    </row>
    <row r="428" spans="1:13" x14ac:dyDescent="0.3">
      <c r="A428" s="298" t="s">
        <v>787</v>
      </c>
      <c r="B428" s="69" t="str">
        <f>VLOOKUP(A428,URS確認!$E:$F,2,FALSE)</f>
        <v>核心傳票相關單獨作業</v>
      </c>
      <c r="C428" s="298">
        <v>1</v>
      </c>
      <c r="D428" s="74" t="s">
        <v>1912</v>
      </c>
      <c r="E428" s="71">
        <v>44487</v>
      </c>
      <c r="F428" s="71">
        <v>44494</v>
      </c>
      <c r="G428" s="71">
        <v>44494</v>
      </c>
      <c r="H428" s="71">
        <v>44494</v>
      </c>
      <c r="I428" s="298" t="str">
        <f>VLOOKUP(A428,URS確認!E:I,5,FALSE)</f>
        <v>楊智誠</v>
      </c>
      <c r="L428" s="298" t="s">
        <v>1479</v>
      </c>
    </row>
    <row r="429" spans="1:13" ht="33" customHeight="1" x14ac:dyDescent="0.3">
      <c r="B429" s="69" t="s">
        <v>1913</v>
      </c>
      <c r="C429" s="298">
        <v>1</v>
      </c>
      <c r="D429" s="74" t="s">
        <v>1914</v>
      </c>
      <c r="E429" s="71">
        <v>44488</v>
      </c>
      <c r="F429" s="71">
        <v>44499</v>
      </c>
      <c r="G429" s="71">
        <v>44499</v>
      </c>
      <c r="H429" s="71">
        <v>44499</v>
      </c>
      <c r="I429" s="298" t="s">
        <v>179</v>
      </c>
      <c r="M429" s="298" t="s">
        <v>1495</v>
      </c>
    </row>
    <row r="430" spans="1:13" x14ac:dyDescent="0.3">
      <c r="B430" s="69" t="s">
        <v>1915</v>
      </c>
      <c r="C430" s="298">
        <v>1</v>
      </c>
      <c r="D430" s="74" t="s">
        <v>1916</v>
      </c>
      <c r="E430" s="71">
        <v>44488</v>
      </c>
      <c r="F430" s="71">
        <v>44512</v>
      </c>
      <c r="G430" s="71">
        <v>44512</v>
      </c>
      <c r="H430" s="71">
        <v>44512</v>
      </c>
      <c r="I430" s="298" t="s">
        <v>179</v>
      </c>
      <c r="M430" s="298" t="s">
        <v>1495</v>
      </c>
    </row>
    <row r="431" spans="1:13" x14ac:dyDescent="0.3">
      <c r="A431" s="298" t="s">
        <v>449</v>
      </c>
      <c r="B431" s="69" t="str">
        <f>VLOOKUP(A431,URS確認!$E:$F,2,FALSE)</f>
        <v xml:space="preserve">保險單明細資料查詢       </v>
      </c>
      <c r="C431" s="298">
        <v>1</v>
      </c>
      <c r="D431" s="74" t="s">
        <v>1917</v>
      </c>
      <c r="E431" s="71">
        <v>44488</v>
      </c>
      <c r="F431" s="71">
        <v>44504</v>
      </c>
      <c r="G431" s="71">
        <v>44504</v>
      </c>
      <c r="H431" s="71">
        <v>44504</v>
      </c>
      <c r="I431" s="298" t="s">
        <v>179</v>
      </c>
      <c r="L431" s="298" t="s">
        <v>1479</v>
      </c>
    </row>
    <row r="432" spans="1:13" ht="33" customHeight="1" x14ac:dyDescent="0.3">
      <c r="A432" s="298" t="s">
        <v>449</v>
      </c>
      <c r="B432" s="69" t="str">
        <f>VLOOKUP(A432,URS確認!$E:$F,2,FALSE)</f>
        <v xml:space="preserve">保險單明細資料查詢       </v>
      </c>
      <c r="C432" s="298">
        <v>2</v>
      </c>
      <c r="D432" s="74" t="s">
        <v>1918</v>
      </c>
      <c r="E432" s="71">
        <v>44488</v>
      </c>
      <c r="F432" s="71">
        <v>44504</v>
      </c>
      <c r="G432" s="71">
        <v>44504</v>
      </c>
      <c r="H432" s="71">
        <v>44504</v>
      </c>
      <c r="I432" s="298" t="s">
        <v>179</v>
      </c>
      <c r="L432" s="298" t="s">
        <v>1479</v>
      </c>
    </row>
    <row r="433" spans="1:13" ht="66" customHeight="1" x14ac:dyDescent="0.3">
      <c r="A433" s="298" t="s">
        <v>743</v>
      </c>
      <c r="B433" s="69" t="str">
        <f>VLOOKUP(A433,URS確認!$E:$F,2,FALSE)</f>
        <v xml:space="preserve">火險保費未繳轉借支作業     </v>
      </c>
      <c r="C433" s="298">
        <v>1</v>
      </c>
      <c r="D433" s="74" t="s">
        <v>1919</v>
      </c>
      <c r="E433" s="71">
        <v>44488</v>
      </c>
      <c r="F433" s="71">
        <v>44510</v>
      </c>
      <c r="G433" s="71">
        <v>44508</v>
      </c>
      <c r="H433" s="71">
        <v>44508</v>
      </c>
      <c r="I433" s="298" t="s">
        <v>179</v>
      </c>
      <c r="L433" s="298" t="s">
        <v>1479</v>
      </c>
    </row>
    <row r="434" spans="1:13" ht="33" customHeight="1" x14ac:dyDescent="0.3">
      <c r="A434" s="298" t="s">
        <v>747</v>
      </c>
      <c r="B434" s="69" t="str">
        <f>VLOOKUP(A434,URS確認!$E:$F,2,FALSE)</f>
        <v xml:space="preserve">火險佣金作業               </v>
      </c>
      <c r="C434" s="298">
        <v>1</v>
      </c>
      <c r="D434" s="74" t="s">
        <v>1920</v>
      </c>
      <c r="E434" s="71">
        <v>44488</v>
      </c>
      <c r="F434" s="71">
        <v>44505</v>
      </c>
      <c r="G434" s="71">
        <v>44505</v>
      </c>
      <c r="H434" s="71">
        <v>44505</v>
      </c>
      <c r="I434" s="298" t="s">
        <v>179</v>
      </c>
      <c r="L434" s="298" t="s">
        <v>1479</v>
      </c>
    </row>
    <row r="435" spans="1:13" ht="33" customHeight="1" x14ac:dyDescent="0.3">
      <c r="A435" s="298" t="s">
        <v>747</v>
      </c>
      <c r="B435" s="69" t="str">
        <f>VLOOKUP(A435,URS確認!$E:$F,2,FALSE)</f>
        <v xml:space="preserve">火險佣金作業               </v>
      </c>
      <c r="C435" s="298">
        <v>2</v>
      </c>
      <c r="D435" s="74" t="s">
        <v>1921</v>
      </c>
      <c r="E435" s="71">
        <v>44488</v>
      </c>
      <c r="F435" s="71">
        <v>44505</v>
      </c>
      <c r="G435" s="71">
        <v>44505</v>
      </c>
      <c r="H435" s="71">
        <v>44505</v>
      </c>
      <c r="I435" s="298" t="s">
        <v>179</v>
      </c>
      <c r="L435" s="298" t="s">
        <v>1479</v>
      </c>
    </row>
    <row r="436" spans="1:13" ht="33" customHeight="1" x14ac:dyDescent="0.3">
      <c r="B436" s="69" t="s">
        <v>1922</v>
      </c>
      <c r="C436" s="298">
        <v>1</v>
      </c>
      <c r="D436" s="74" t="s">
        <v>1923</v>
      </c>
      <c r="E436" s="71">
        <v>44488</v>
      </c>
      <c r="F436" s="71">
        <v>44505</v>
      </c>
      <c r="G436" s="71">
        <v>44505</v>
      </c>
      <c r="H436" s="71">
        <v>44505</v>
      </c>
      <c r="I436" s="298" t="s">
        <v>179</v>
      </c>
      <c r="L436" s="298" t="s">
        <v>1479</v>
      </c>
    </row>
    <row r="437" spans="1:13" ht="33" customHeight="1" x14ac:dyDescent="0.3">
      <c r="B437" s="69" t="s">
        <v>1922</v>
      </c>
      <c r="C437" s="298">
        <v>2</v>
      </c>
      <c r="D437" s="74" t="s">
        <v>1924</v>
      </c>
      <c r="E437" s="71">
        <v>44488</v>
      </c>
      <c r="F437" s="71">
        <v>44505</v>
      </c>
      <c r="G437" s="71">
        <v>44505</v>
      </c>
      <c r="H437" s="71">
        <v>44505</v>
      </c>
      <c r="I437" s="298" t="s">
        <v>179</v>
      </c>
      <c r="L437" s="298" t="s">
        <v>1479</v>
      </c>
    </row>
    <row r="438" spans="1:13" ht="49.5" customHeight="1" x14ac:dyDescent="0.3">
      <c r="B438" s="69" t="s">
        <v>1922</v>
      </c>
      <c r="C438" s="298">
        <v>3</v>
      </c>
      <c r="D438" s="74" t="s">
        <v>1925</v>
      </c>
      <c r="E438" s="71">
        <v>44488</v>
      </c>
      <c r="F438" s="71">
        <v>44508</v>
      </c>
      <c r="G438" s="71">
        <v>44508</v>
      </c>
      <c r="H438" s="71">
        <v>44508</v>
      </c>
      <c r="I438" s="298" t="s">
        <v>179</v>
      </c>
      <c r="L438" s="298" t="s">
        <v>1479</v>
      </c>
    </row>
    <row r="439" spans="1:13" x14ac:dyDescent="0.3">
      <c r="A439" s="298" t="s">
        <v>1458</v>
      </c>
      <c r="B439" s="69" t="e">
        <f>VLOOKUP(A439,URS確認!$E:$F,2,FALSE)</f>
        <v>#N/A</v>
      </c>
      <c r="C439" s="298">
        <v>1</v>
      </c>
      <c r="D439" s="74" t="s">
        <v>1926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8" t="e">
        <f>VLOOKUP(A439,URS確認!E:I,5,FALSE)</f>
        <v>#N/A</v>
      </c>
      <c r="L439" s="298" t="s">
        <v>1479</v>
      </c>
    </row>
    <row r="440" spans="1:13" x14ac:dyDescent="0.3">
      <c r="A440" s="298" t="s">
        <v>699</v>
      </c>
      <c r="B440" s="69" t="str">
        <f>VLOOKUP(A440,URS確認!$E:$F,2,FALSE)</f>
        <v>暫收款銷帳</v>
      </c>
      <c r="C440" s="298">
        <v>1</v>
      </c>
      <c r="D440" s="74" t="s">
        <v>1927</v>
      </c>
      <c r="E440" s="71">
        <v>44488</v>
      </c>
      <c r="F440" s="71">
        <v>44496</v>
      </c>
      <c r="G440" s="71">
        <v>44496</v>
      </c>
      <c r="H440" s="71">
        <v>44510</v>
      </c>
      <c r="I440" s="298" t="str">
        <f>VLOOKUP(A440,URS確認!E:I,5,FALSE)</f>
        <v>余家興</v>
      </c>
      <c r="L440" s="298" t="s">
        <v>1479</v>
      </c>
    </row>
    <row r="441" spans="1:13" ht="61.5" customHeight="1" x14ac:dyDescent="0.3">
      <c r="A441" s="298" t="s">
        <v>699</v>
      </c>
      <c r="B441" s="69" t="str">
        <f>VLOOKUP(A441,URS確認!$E:$F,2,FALSE)</f>
        <v>暫收款銷帳</v>
      </c>
      <c r="C441" s="298">
        <v>2</v>
      </c>
      <c r="D441" s="74" t="s">
        <v>1928</v>
      </c>
      <c r="E441" s="71">
        <v>44488</v>
      </c>
      <c r="F441" s="71">
        <v>44495</v>
      </c>
      <c r="G441" s="71">
        <v>44495</v>
      </c>
      <c r="H441" s="71">
        <v>44510</v>
      </c>
      <c r="I441" s="298" t="str">
        <f>VLOOKUP(A441,URS確認!E:I,5,FALSE)</f>
        <v>余家興</v>
      </c>
      <c r="L441" s="298" t="s">
        <v>1479</v>
      </c>
    </row>
    <row r="442" spans="1:13" x14ac:dyDescent="0.3">
      <c r="A442" s="298" t="s">
        <v>361</v>
      </c>
      <c r="B442" s="69" t="str">
        <f>VLOOKUP(A442,URS確認!$E:$F,2,FALSE)</f>
        <v xml:space="preserve">應處理清單      </v>
      </c>
      <c r="C442" s="298">
        <v>1</v>
      </c>
      <c r="D442" s="74" t="s">
        <v>1929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8" t="str">
        <f>VLOOKUP(A442,URS確認!E:I,5,FALSE)</f>
        <v>余家興</v>
      </c>
      <c r="M442" s="298" t="s">
        <v>1495</v>
      </c>
    </row>
    <row r="443" spans="1:13" ht="33" customHeight="1" x14ac:dyDescent="0.3">
      <c r="A443" s="298" t="s">
        <v>2887</v>
      </c>
      <c r="B443" s="69" t="s">
        <v>1930</v>
      </c>
      <c r="C443" s="298">
        <v>1</v>
      </c>
      <c r="D443" s="74" t="s">
        <v>1931</v>
      </c>
      <c r="E443" s="71">
        <v>44489</v>
      </c>
      <c r="F443" s="71">
        <v>44545</v>
      </c>
      <c r="G443" s="71">
        <v>44525</v>
      </c>
      <c r="H443" s="71">
        <v>44525</v>
      </c>
      <c r="I443" s="590" t="str">
        <f>VLOOKUP(A443,URS確認!E:I,5,FALSE)</f>
        <v>楊智誠</v>
      </c>
      <c r="M443" s="298" t="s">
        <v>1495</v>
      </c>
    </row>
    <row r="444" spans="1:13" x14ac:dyDescent="0.3">
      <c r="A444" s="298" t="s">
        <v>828</v>
      </c>
      <c r="B444" s="69" t="str">
        <f>VLOOKUP(A444,URS確認!$E:$F,2,FALSE)</f>
        <v>指標利率種類查詢</v>
      </c>
      <c r="C444" s="298">
        <v>1</v>
      </c>
      <c r="D444" s="74" t="s">
        <v>1932</v>
      </c>
      <c r="E444" s="71">
        <v>44489</v>
      </c>
      <c r="F444" s="71">
        <v>44494</v>
      </c>
      <c r="G444" s="71">
        <v>44494</v>
      </c>
      <c r="H444" s="71">
        <v>44494</v>
      </c>
      <c r="I444" s="298" t="str">
        <f>VLOOKUP(A444,URS確認!E:I,5,FALSE)</f>
        <v>楊智誠</v>
      </c>
      <c r="L444" s="298" t="s">
        <v>1479</v>
      </c>
    </row>
    <row r="445" spans="1:13" ht="66" customHeight="1" x14ac:dyDescent="0.3">
      <c r="A445" s="298" t="s">
        <v>830</v>
      </c>
      <c r="B445" s="69" t="str">
        <f>VLOOKUP(A445,URS確認!$E:$F,2,FALSE)</f>
        <v>指標利率資料查詢</v>
      </c>
      <c r="C445" s="298">
        <v>1</v>
      </c>
      <c r="D445" s="74" t="s">
        <v>1933</v>
      </c>
      <c r="E445" s="71">
        <v>44489</v>
      </c>
      <c r="F445" s="71">
        <v>44494</v>
      </c>
      <c r="G445" s="71">
        <v>44494</v>
      </c>
      <c r="H445" s="71">
        <v>44494</v>
      </c>
      <c r="I445" s="298" t="str">
        <f>VLOOKUP(A445,URS確認!E:I,5,FALSE)</f>
        <v>楊智誠</v>
      </c>
      <c r="L445" s="298" t="s">
        <v>1479</v>
      </c>
    </row>
    <row r="446" spans="1:13" ht="99" customHeight="1" x14ac:dyDescent="0.3">
      <c r="A446" s="298" t="s">
        <v>830</v>
      </c>
      <c r="B446" s="69" t="str">
        <f>VLOOKUP(A446,URS確認!$E:$F,2,FALSE)</f>
        <v>指標利率資料查詢</v>
      </c>
      <c r="C446" s="298">
        <v>2</v>
      </c>
      <c r="D446" s="74" t="s">
        <v>1934</v>
      </c>
      <c r="E446" s="71">
        <v>44489</v>
      </c>
      <c r="F446" s="71">
        <v>44494</v>
      </c>
      <c r="G446" s="71">
        <v>44494</v>
      </c>
      <c r="H446" s="71">
        <v>44494</v>
      </c>
      <c r="I446" s="298" t="str">
        <f>VLOOKUP(A446,URS確認!E:I,5,FALSE)</f>
        <v>楊智誠</v>
      </c>
      <c r="L446" s="298" t="s">
        <v>1479</v>
      </c>
    </row>
    <row r="447" spans="1:13" x14ac:dyDescent="0.3">
      <c r="A447" s="298" t="s">
        <v>834</v>
      </c>
      <c r="B447" s="69" t="str">
        <f>VLOOKUP(A447,URS確認!$E:$F,2,FALSE)</f>
        <v>指標利率登錄/維護</v>
      </c>
      <c r="C447" s="298">
        <v>1</v>
      </c>
      <c r="D447" s="74" t="s">
        <v>1935</v>
      </c>
      <c r="E447" s="71">
        <v>44489</v>
      </c>
      <c r="F447" s="71">
        <v>44494</v>
      </c>
      <c r="G447" s="71">
        <v>44494</v>
      </c>
      <c r="H447" s="71">
        <v>44494</v>
      </c>
      <c r="I447" s="298" t="str">
        <f>VLOOKUP(A447,URS確認!E:I,5,FALSE)</f>
        <v>楊智誠</v>
      </c>
      <c r="L447" s="298" t="s">
        <v>1479</v>
      </c>
    </row>
    <row r="448" spans="1:13" ht="66" customHeight="1" x14ac:dyDescent="0.3">
      <c r="A448" s="298" t="s">
        <v>834</v>
      </c>
      <c r="B448" s="69" t="str">
        <f>VLOOKUP(A448,URS確認!$E:$F,2,FALSE)</f>
        <v>指標利率登錄/維護</v>
      </c>
      <c r="C448" s="298">
        <v>2</v>
      </c>
      <c r="D448" s="74" t="s">
        <v>1936</v>
      </c>
      <c r="E448" s="71">
        <v>44489</v>
      </c>
      <c r="F448" s="71">
        <v>44494</v>
      </c>
      <c r="G448" s="71">
        <v>44494</v>
      </c>
      <c r="H448" s="71">
        <v>44494</v>
      </c>
      <c r="I448" s="298" t="str">
        <f>VLOOKUP(A448,URS確認!E:I,5,FALSE)</f>
        <v>楊智誠</v>
      </c>
      <c r="L448" s="298" t="s">
        <v>1479</v>
      </c>
    </row>
    <row r="449" spans="1:13" ht="66" customHeight="1" x14ac:dyDescent="0.3">
      <c r="A449" s="298" t="s">
        <v>834</v>
      </c>
      <c r="B449" s="69" t="str">
        <f>VLOOKUP(A449,URS確認!$E:$F,2,FALSE)</f>
        <v>指標利率登錄/維護</v>
      </c>
      <c r="C449" s="298">
        <v>3</v>
      </c>
      <c r="D449" s="74" t="s">
        <v>1937</v>
      </c>
      <c r="E449" s="71">
        <v>44489</v>
      </c>
      <c r="F449" s="71">
        <v>44494</v>
      </c>
      <c r="G449" s="71">
        <v>44494</v>
      </c>
      <c r="H449" s="71">
        <v>44494</v>
      </c>
      <c r="I449" s="298" t="str">
        <f>VLOOKUP(A449,URS確認!E:I,5,FALSE)</f>
        <v>楊智誠</v>
      </c>
      <c r="L449" s="298" t="s">
        <v>1479</v>
      </c>
    </row>
    <row r="450" spans="1:13" ht="33" customHeight="1" x14ac:dyDescent="0.3">
      <c r="A450" s="298" t="s">
        <v>813</v>
      </c>
      <c r="B450" s="69" t="str">
        <f>VLOOKUP(A450,URS確認!$E:$F,2,FALSE)</f>
        <v xml:space="preserve">產生利率即將變動資料                 </v>
      </c>
      <c r="C450" s="298">
        <v>1</v>
      </c>
      <c r="D450" s="74" t="s">
        <v>1938</v>
      </c>
      <c r="E450" s="71">
        <v>44490</v>
      </c>
      <c r="F450" s="71">
        <v>44504</v>
      </c>
      <c r="G450" s="71">
        <v>44504</v>
      </c>
      <c r="H450" s="71">
        <v>44504</v>
      </c>
      <c r="I450" s="298" t="s">
        <v>179</v>
      </c>
      <c r="L450" s="298" t="s">
        <v>1479</v>
      </c>
    </row>
    <row r="451" spans="1:13" ht="82.5" customHeight="1" x14ac:dyDescent="0.3">
      <c r="A451" s="298" t="s">
        <v>813</v>
      </c>
      <c r="B451" s="69" t="str">
        <f>VLOOKUP(A451,URS確認!$E:$F,2,FALSE)</f>
        <v xml:space="preserve">產生利率即將變動資料                 </v>
      </c>
      <c r="C451" s="298">
        <v>2</v>
      </c>
      <c r="D451" s="74" t="s">
        <v>1939</v>
      </c>
      <c r="E451" s="71">
        <v>44490</v>
      </c>
      <c r="F451" s="125" t="s">
        <v>1940</v>
      </c>
      <c r="G451" s="125" t="s">
        <v>1940</v>
      </c>
      <c r="H451" s="125" t="s">
        <v>1940</v>
      </c>
      <c r="I451" s="298" t="s">
        <v>179</v>
      </c>
      <c r="L451" s="298" t="s">
        <v>1479</v>
      </c>
    </row>
    <row r="452" spans="1:13" ht="33" customHeight="1" x14ac:dyDescent="0.3">
      <c r="A452" s="298" t="s">
        <v>813</v>
      </c>
      <c r="B452" s="69" t="str">
        <f>VLOOKUP(A452,URS確認!$E:$F,2,FALSE)</f>
        <v xml:space="preserve">產生利率即將變動資料                 </v>
      </c>
      <c r="C452" s="298">
        <v>3</v>
      </c>
      <c r="D452" s="74" t="s">
        <v>1941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8" t="s">
        <v>1866</v>
      </c>
      <c r="M452" s="298" t="s">
        <v>1495</v>
      </c>
    </row>
    <row r="453" spans="1:13" x14ac:dyDescent="0.3">
      <c r="A453" s="298" t="s">
        <v>815</v>
      </c>
      <c r="B453" s="69" t="str">
        <f>VLOOKUP(A453,URS確認!$E:$F,2,FALSE)</f>
        <v>利率調整清單</v>
      </c>
      <c r="C453" s="298">
        <v>1</v>
      </c>
      <c r="D453" s="74" t="s">
        <v>1942</v>
      </c>
      <c r="E453" s="71">
        <v>44490</v>
      </c>
      <c r="F453" s="71">
        <v>44504</v>
      </c>
      <c r="G453" s="71">
        <v>44504</v>
      </c>
      <c r="H453" s="71">
        <v>44504</v>
      </c>
      <c r="I453" s="298" t="s">
        <v>179</v>
      </c>
      <c r="L453" s="298" t="s">
        <v>1479</v>
      </c>
    </row>
    <row r="454" spans="1:13" ht="33" customHeight="1" x14ac:dyDescent="0.3">
      <c r="A454" s="298" t="s">
        <v>815</v>
      </c>
      <c r="B454" s="69" t="str">
        <f>VLOOKUP(A454,URS確認!$E:$F,2,FALSE)</f>
        <v>利率調整清單</v>
      </c>
      <c r="C454" s="298">
        <v>2</v>
      </c>
      <c r="D454" s="74" t="s">
        <v>1943</v>
      </c>
      <c r="E454" s="71">
        <v>44490</v>
      </c>
      <c r="F454" s="71">
        <v>44512</v>
      </c>
      <c r="G454" s="71">
        <v>44512</v>
      </c>
      <c r="H454" s="71">
        <v>44512</v>
      </c>
      <c r="I454" s="298" t="s">
        <v>179</v>
      </c>
      <c r="L454" s="298" t="s">
        <v>1479</v>
      </c>
    </row>
    <row r="455" spans="1:13" x14ac:dyDescent="0.3">
      <c r="A455" s="298" t="s">
        <v>815</v>
      </c>
      <c r="B455" s="69" t="str">
        <f>VLOOKUP(A455,URS確認!$E:$F,2,FALSE)</f>
        <v>利率調整清單</v>
      </c>
      <c r="C455" s="298">
        <v>3</v>
      </c>
      <c r="D455" s="74" t="s">
        <v>1944</v>
      </c>
      <c r="E455" s="71">
        <v>44490</v>
      </c>
      <c r="F455" s="71">
        <v>44512</v>
      </c>
      <c r="G455" s="71">
        <v>44511</v>
      </c>
      <c r="H455" s="71">
        <v>44511</v>
      </c>
      <c r="I455" s="298" t="s">
        <v>179</v>
      </c>
      <c r="L455" s="298" t="s">
        <v>1479</v>
      </c>
    </row>
    <row r="456" spans="1:13" ht="33" customHeight="1" x14ac:dyDescent="0.3">
      <c r="A456" s="298" t="s">
        <v>815</v>
      </c>
      <c r="B456" s="69" t="str">
        <f>VLOOKUP(A456,URS確認!$E:$F,2,FALSE)</f>
        <v>利率調整清單</v>
      </c>
      <c r="C456" s="298">
        <v>4</v>
      </c>
      <c r="D456" s="74" t="s">
        <v>1945</v>
      </c>
      <c r="E456" s="71">
        <v>44490</v>
      </c>
      <c r="F456" s="71">
        <v>44508</v>
      </c>
      <c r="G456" s="71">
        <v>44508</v>
      </c>
      <c r="H456" s="71">
        <v>44508</v>
      </c>
      <c r="I456" s="298" t="s">
        <v>179</v>
      </c>
      <c r="L456" s="298" t="s">
        <v>1479</v>
      </c>
    </row>
    <row r="457" spans="1:13" x14ac:dyDescent="0.3">
      <c r="A457" s="298" t="s">
        <v>822</v>
      </c>
      <c r="B457" s="69" t="str">
        <f>VLOOKUP(A457,URS確認!$E:$F,2,FALSE)</f>
        <v>個別利率調整作業</v>
      </c>
      <c r="C457" s="298">
        <v>1</v>
      </c>
      <c r="D457" s="74" t="s">
        <v>1946</v>
      </c>
      <c r="E457" s="71">
        <v>44490</v>
      </c>
      <c r="F457" s="71">
        <v>44508</v>
      </c>
      <c r="G457" s="71">
        <v>44508</v>
      </c>
      <c r="H457" s="71">
        <v>44508</v>
      </c>
      <c r="I457" s="298" t="s">
        <v>179</v>
      </c>
      <c r="L457" s="298" t="s">
        <v>1479</v>
      </c>
    </row>
    <row r="458" spans="1:13" x14ac:dyDescent="0.3">
      <c r="A458" s="298" t="s">
        <v>822</v>
      </c>
      <c r="B458" s="69" t="str">
        <f>VLOOKUP(A458,URS確認!$E:$F,2,FALSE)</f>
        <v>個別利率調整作業</v>
      </c>
      <c r="C458" s="298">
        <v>2</v>
      </c>
      <c r="D458" s="74" t="s">
        <v>1947</v>
      </c>
      <c r="E458" s="71">
        <v>44490</v>
      </c>
      <c r="F458" s="71">
        <v>44504</v>
      </c>
      <c r="G458" s="71">
        <v>44504</v>
      </c>
      <c r="H458" s="71">
        <v>44504</v>
      </c>
      <c r="I458" s="298" t="s">
        <v>179</v>
      </c>
      <c r="L458" s="298" t="s">
        <v>1479</v>
      </c>
    </row>
    <row r="459" spans="1:13" x14ac:dyDescent="0.3">
      <c r="A459" s="298" t="s">
        <v>817</v>
      </c>
      <c r="B459" s="69" t="str">
        <f>VLOOKUP(A459,URS確認!$E:$F,2,FALSE)</f>
        <v>利率調整確認作業</v>
      </c>
      <c r="C459" s="298">
        <v>1</v>
      </c>
      <c r="D459" s="74" t="s">
        <v>1948</v>
      </c>
      <c r="E459" s="71">
        <v>44490</v>
      </c>
      <c r="F459" s="71">
        <v>44504</v>
      </c>
      <c r="G459" s="71">
        <v>44504</v>
      </c>
      <c r="H459" s="71">
        <v>44504</v>
      </c>
      <c r="I459" s="298" t="s">
        <v>179</v>
      </c>
      <c r="L459" s="298" t="s">
        <v>1479</v>
      </c>
    </row>
    <row r="460" spans="1:13" ht="367.5" customHeight="1" x14ac:dyDescent="0.3">
      <c r="A460" s="298" t="s">
        <v>826</v>
      </c>
      <c r="B460" s="69" t="s">
        <v>1949</v>
      </c>
      <c r="D460" s="227" t="s">
        <v>1950</v>
      </c>
      <c r="E460" s="71"/>
      <c r="F460" s="71">
        <v>44505</v>
      </c>
      <c r="G460" s="71">
        <v>44505</v>
      </c>
      <c r="H460" s="71">
        <v>44505</v>
      </c>
      <c r="I460" s="298" t="s">
        <v>179</v>
      </c>
      <c r="L460" s="298" t="s">
        <v>1479</v>
      </c>
    </row>
    <row r="461" spans="1:13" x14ac:dyDescent="0.3">
      <c r="A461" s="298" t="s">
        <v>861</v>
      </c>
      <c r="B461" s="69" t="str">
        <f>VLOOKUP(A461,URS確認!$E:$F,2,FALSE)</f>
        <v>個人房貸調整作業</v>
      </c>
      <c r="C461" s="298">
        <v>1</v>
      </c>
      <c r="D461" s="74" t="s">
        <v>1951</v>
      </c>
      <c r="E461" s="71">
        <v>44490</v>
      </c>
      <c r="F461" s="71">
        <v>44490</v>
      </c>
      <c r="G461" s="71">
        <v>44490</v>
      </c>
      <c r="H461" s="71">
        <v>44490</v>
      </c>
      <c r="I461" s="298" t="str">
        <f>VLOOKUP(A461,URS確認!E:I,5,FALSE)</f>
        <v>陳昱衡</v>
      </c>
      <c r="L461" s="298" t="s">
        <v>1479</v>
      </c>
    </row>
    <row r="462" spans="1:13" ht="66" customHeight="1" x14ac:dyDescent="0.3">
      <c r="A462" s="298" t="s">
        <v>861</v>
      </c>
      <c r="B462" s="69" t="str">
        <f>VLOOKUP(A462,URS確認!$E:$F,2,FALSE)</f>
        <v>個人房貸調整作業</v>
      </c>
      <c r="C462" s="298">
        <v>2</v>
      </c>
      <c r="D462" s="74" t="s">
        <v>1952</v>
      </c>
      <c r="E462" s="71">
        <v>44490</v>
      </c>
      <c r="F462" s="71">
        <v>44490</v>
      </c>
      <c r="G462" s="71">
        <v>44490</v>
      </c>
      <c r="H462" s="71">
        <v>44490</v>
      </c>
      <c r="I462" s="298" t="str">
        <f>VLOOKUP(A462,URS確認!E:I,5,FALSE)</f>
        <v>陳昱衡</v>
      </c>
      <c r="L462" s="298" t="s">
        <v>1479</v>
      </c>
    </row>
    <row r="463" spans="1:13" x14ac:dyDescent="0.3">
      <c r="A463" s="298" t="s">
        <v>655</v>
      </c>
      <c r="B463" s="69" t="str">
        <f>VLOOKUP(A463,URS確認!$E:$F,2,FALSE)</f>
        <v xml:space="preserve">繳息情形查詢             </v>
      </c>
      <c r="C463" s="298">
        <v>1</v>
      </c>
      <c r="D463" s="74" t="s">
        <v>1953</v>
      </c>
      <c r="E463" s="71">
        <v>44491</v>
      </c>
      <c r="F463" s="71">
        <v>44504</v>
      </c>
      <c r="G463" s="71">
        <v>44504</v>
      </c>
      <c r="H463" s="71">
        <v>44510</v>
      </c>
      <c r="I463" s="298" t="str">
        <f>VLOOKUP(A463,URS確認!E:I,5,FALSE)</f>
        <v>余家興</v>
      </c>
      <c r="L463" s="298" t="s">
        <v>1479</v>
      </c>
    </row>
    <row r="464" spans="1:13" x14ac:dyDescent="0.3">
      <c r="A464" s="298" t="s">
        <v>655</v>
      </c>
      <c r="B464" s="69" t="str">
        <f>VLOOKUP(A464,URS確認!$E:$F,2,FALSE)</f>
        <v xml:space="preserve">繳息情形查詢             </v>
      </c>
      <c r="C464" s="298">
        <v>2</v>
      </c>
      <c r="D464" s="74" t="s">
        <v>1954</v>
      </c>
      <c r="E464" s="71">
        <v>44491</v>
      </c>
      <c r="F464" s="71">
        <v>44504</v>
      </c>
      <c r="G464" s="71">
        <v>44504</v>
      </c>
      <c r="H464" s="71">
        <v>44510</v>
      </c>
      <c r="I464" s="298" t="str">
        <f>VLOOKUP(A464,URS確認!E:I,5,FALSE)</f>
        <v>余家興</v>
      </c>
      <c r="L464" s="298" t="s">
        <v>1479</v>
      </c>
    </row>
    <row r="465" spans="1:13" x14ac:dyDescent="0.3">
      <c r="A465" s="298" t="s">
        <v>658</v>
      </c>
      <c r="B465" s="69" t="str">
        <f>VLOOKUP(A465,URS確認!$E:$F,2,FALSE)</f>
        <v>計息明細查詢</v>
      </c>
      <c r="C465" s="298">
        <v>1</v>
      </c>
      <c r="D465" s="74" t="s">
        <v>1953</v>
      </c>
      <c r="E465" s="71">
        <v>44491</v>
      </c>
      <c r="F465" s="71">
        <v>44504</v>
      </c>
      <c r="G465" s="71">
        <v>44504</v>
      </c>
      <c r="H465" s="71">
        <v>44510</v>
      </c>
      <c r="I465" s="298" t="str">
        <f>VLOOKUP(A465,URS確認!E:I,5,FALSE)</f>
        <v>余家興</v>
      </c>
      <c r="L465" s="298" t="s">
        <v>1479</v>
      </c>
    </row>
    <row r="466" spans="1:13" x14ac:dyDescent="0.3">
      <c r="A466" s="298" t="s">
        <v>658</v>
      </c>
      <c r="B466" s="69" t="str">
        <f>VLOOKUP(A466,URS確認!$E:$F,2,FALSE)</f>
        <v>計息明細查詢</v>
      </c>
      <c r="C466" s="298">
        <v>2</v>
      </c>
      <c r="D466" s="74" t="s">
        <v>1955</v>
      </c>
      <c r="E466" s="71">
        <v>44491</v>
      </c>
      <c r="F466" s="71">
        <v>44504</v>
      </c>
      <c r="G466" s="71">
        <v>44504</v>
      </c>
      <c r="H466" s="71">
        <v>44510</v>
      </c>
      <c r="I466" s="298" t="str">
        <f>VLOOKUP(A466,URS確認!E:I,5,FALSE)</f>
        <v>余家興</v>
      </c>
      <c r="L466" s="298" t="s">
        <v>1479</v>
      </c>
    </row>
    <row r="467" spans="1:13" x14ac:dyDescent="0.3">
      <c r="A467" s="298" t="s">
        <v>340</v>
      </c>
      <c r="B467" s="69" t="str">
        <f>VLOOKUP(A467,URS確認!$E:$F,2,FALSE)</f>
        <v xml:space="preserve">交易內容查詢             </v>
      </c>
      <c r="C467" s="298">
        <v>1</v>
      </c>
      <c r="D467" s="74" t="s">
        <v>1956</v>
      </c>
      <c r="E467" s="71">
        <v>44491</v>
      </c>
      <c r="F467" s="71">
        <v>44510</v>
      </c>
      <c r="G467" s="71">
        <v>44510</v>
      </c>
      <c r="H467" s="71">
        <v>44510</v>
      </c>
      <c r="I467" s="298" t="str">
        <f>VLOOKUP(A467,URS確認!E:I,5,FALSE)</f>
        <v>余家興</v>
      </c>
      <c r="L467" s="298" t="s">
        <v>1479</v>
      </c>
    </row>
    <row r="468" spans="1:13" ht="34" customHeight="1" x14ac:dyDescent="0.3">
      <c r="A468" s="298" t="s">
        <v>795</v>
      </c>
      <c r="B468" s="69" t="str">
        <f>VLOOKUP(A468,URS確認!$E:$F,2,FALSE)</f>
        <v xml:space="preserve">清償作業                                </v>
      </c>
      <c r="C468" s="298">
        <v>1</v>
      </c>
      <c r="D468" s="74" t="s">
        <v>1957</v>
      </c>
      <c r="E468" s="71">
        <v>44491</v>
      </c>
      <c r="F468" s="71">
        <v>44504</v>
      </c>
      <c r="G468" s="71">
        <v>44504</v>
      </c>
      <c r="H468" s="71">
        <v>44504</v>
      </c>
      <c r="I468" s="298" t="str">
        <f>VLOOKUP(A468,URS確認!E:I,5,FALSE)</f>
        <v>余家興</v>
      </c>
      <c r="L468" s="298" t="s">
        <v>1479</v>
      </c>
    </row>
    <row r="469" spans="1:13" x14ac:dyDescent="0.3">
      <c r="A469" s="298" t="s">
        <v>852</v>
      </c>
      <c r="B469" s="69" t="str">
        <f>VLOOKUP(A469,URS確認!$E:$F,2,FALSE)</f>
        <v>ID所有人案件關係查詢</v>
      </c>
      <c r="C469" s="298">
        <v>1</v>
      </c>
      <c r="D469" s="74" t="s">
        <v>1958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122</v>
      </c>
      <c r="M469" s="298" t="s">
        <v>1495</v>
      </c>
    </row>
    <row r="470" spans="1:13" x14ac:dyDescent="0.3">
      <c r="A470" s="298" t="s">
        <v>866</v>
      </c>
      <c r="B470" s="69" t="str">
        <f>VLOOKUP(A470,URS確認!$E:$F,2,FALSE)</f>
        <v>結清客戶申請個人資料控管維護</v>
      </c>
      <c r="C470" s="298">
        <v>1</v>
      </c>
      <c r="D470" s="74" t="s">
        <v>1959</v>
      </c>
      <c r="E470" s="71">
        <v>44494</v>
      </c>
      <c r="F470" s="71">
        <v>44494</v>
      </c>
      <c r="G470" s="71">
        <v>44494</v>
      </c>
      <c r="H470" s="71">
        <v>44494</v>
      </c>
      <c r="I470" s="298" t="str">
        <f>VLOOKUP(A470,URS確認!E:I,5,FALSE)</f>
        <v>陳昱衡</v>
      </c>
      <c r="L470" s="298" t="s">
        <v>1479</v>
      </c>
    </row>
    <row r="471" spans="1:13" x14ac:dyDescent="0.3">
      <c r="A471" s="298" t="s">
        <v>866</v>
      </c>
      <c r="B471" s="69" t="str">
        <f>VLOOKUP(A471,URS確認!$E:$F,2,FALSE)</f>
        <v>結清客戶申請個人資料控管維護</v>
      </c>
      <c r="C471" s="298">
        <v>2</v>
      </c>
      <c r="D471" s="74" t="s">
        <v>1960</v>
      </c>
      <c r="E471" s="71">
        <v>44494</v>
      </c>
      <c r="F471" s="71">
        <v>44494</v>
      </c>
      <c r="G471" s="71">
        <v>44494</v>
      </c>
      <c r="H471" s="71">
        <v>44494</v>
      </c>
      <c r="I471" s="298" t="str">
        <f>VLOOKUP(A471,URS確認!E:I,5,FALSE)</f>
        <v>陳昱衡</v>
      </c>
      <c r="L471" s="298" t="s">
        <v>1479</v>
      </c>
    </row>
    <row r="472" spans="1:13" x14ac:dyDescent="0.3">
      <c r="A472" s="298" t="s">
        <v>866</v>
      </c>
      <c r="B472" s="69" t="str">
        <f>VLOOKUP(A472,URS確認!$E:$F,2,FALSE)</f>
        <v>結清客戶申請個人資料控管維護</v>
      </c>
      <c r="C472" s="298">
        <v>3</v>
      </c>
      <c r="D472" s="74" t="s">
        <v>1961</v>
      </c>
      <c r="E472" s="71">
        <v>44494</v>
      </c>
      <c r="F472" s="71">
        <v>44502</v>
      </c>
      <c r="G472" s="71">
        <v>44502</v>
      </c>
      <c r="H472" s="71">
        <v>44502</v>
      </c>
      <c r="I472" s="298" t="str">
        <f>VLOOKUP(A472,URS確認!E:I,5,FALSE)</f>
        <v>陳昱衡</v>
      </c>
      <c r="L472" s="298" t="s">
        <v>1479</v>
      </c>
    </row>
    <row r="473" spans="1:13" x14ac:dyDescent="0.3">
      <c r="A473" s="298" t="s">
        <v>866</v>
      </c>
      <c r="B473" s="69" t="str">
        <f>VLOOKUP(A473,URS確認!$E:$F,2,FALSE)</f>
        <v>結清客戶申請個人資料控管維護</v>
      </c>
      <c r="C473" s="298">
        <v>4</v>
      </c>
      <c r="D473" s="74" t="s">
        <v>1962</v>
      </c>
      <c r="E473" s="71">
        <v>44494</v>
      </c>
      <c r="F473" s="71">
        <v>44503</v>
      </c>
      <c r="G473" s="71">
        <v>44503</v>
      </c>
      <c r="H473" s="71">
        <v>44503</v>
      </c>
      <c r="I473" s="298" t="str">
        <f>VLOOKUP(A473,URS確認!E:I,5,FALSE)</f>
        <v>陳昱衡</v>
      </c>
      <c r="L473" s="298" t="s">
        <v>1479</v>
      </c>
    </row>
    <row r="474" spans="1:13" x14ac:dyDescent="0.3">
      <c r="A474" s="298" t="s">
        <v>866</v>
      </c>
      <c r="B474" s="69" t="str">
        <f>VLOOKUP(A474,URS確認!$E:$F,2,FALSE)</f>
        <v>結清客戶申請個人資料控管維護</v>
      </c>
      <c r="C474" s="298">
        <v>5</v>
      </c>
      <c r="D474" s="74" t="s">
        <v>1963</v>
      </c>
      <c r="E474" s="71">
        <v>44494</v>
      </c>
      <c r="F474" s="71">
        <v>44522</v>
      </c>
      <c r="G474" s="71">
        <v>44522</v>
      </c>
      <c r="H474" s="71">
        <v>44522</v>
      </c>
      <c r="I474" s="298" t="str">
        <f>VLOOKUP(A474,URS確認!E:I,5,FALSE)</f>
        <v>陳昱衡</v>
      </c>
      <c r="M474" s="298" t="s">
        <v>1495</v>
      </c>
    </row>
    <row r="475" spans="1:13" x14ac:dyDescent="0.3">
      <c r="A475" s="298" t="s">
        <v>869</v>
      </c>
      <c r="B475" s="69" t="str">
        <f>VLOOKUP(A475,URS確認!$E:$F,2,FALSE)</f>
        <v xml:space="preserve">擔保品重評明細資料查詢                  </v>
      </c>
      <c r="C475" s="298">
        <v>1</v>
      </c>
      <c r="D475" s="74" t="s">
        <v>1964</v>
      </c>
      <c r="E475" s="71">
        <v>44494</v>
      </c>
      <c r="F475" s="71">
        <v>44494</v>
      </c>
      <c r="G475" s="71">
        <v>44494</v>
      </c>
      <c r="H475" s="71">
        <v>44494</v>
      </c>
      <c r="I475" s="298" t="str">
        <f>VLOOKUP(A475,URS確認!E:I,5,FALSE)</f>
        <v>陳昱衡</v>
      </c>
      <c r="L475" s="298" t="s">
        <v>1479</v>
      </c>
    </row>
    <row r="476" spans="1:13" ht="33" customHeight="1" x14ac:dyDescent="0.3">
      <c r="A476" s="298" t="s">
        <v>869</v>
      </c>
      <c r="B476" s="69" t="str">
        <f>VLOOKUP(A476,URS確認!$E:$F,2,FALSE)</f>
        <v xml:space="preserve">擔保品重評明細資料查詢                  </v>
      </c>
      <c r="C476" s="298">
        <v>2</v>
      </c>
      <c r="D476" s="74" t="s">
        <v>1965</v>
      </c>
      <c r="E476" s="71">
        <v>44494</v>
      </c>
      <c r="F476" s="71">
        <v>44494</v>
      </c>
      <c r="G476" s="71">
        <v>44494</v>
      </c>
      <c r="H476" s="71">
        <v>44494</v>
      </c>
      <c r="I476" s="298" t="str">
        <f>VLOOKUP(A476,URS確認!E:I,5,FALSE)</f>
        <v>陳昱衡</v>
      </c>
      <c r="L476" s="298" t="s">
        <v>1479</v>
      </c>
    </row>
    <row r="477" spans="1:13" x14ac:dyDescent="0.3">
      <c r="A477" s="298" t="s">
        <v>869</v>
      </c>
      <c r="B477" s="69" t="str">
        <f>VLOOKUP(A477,URS確認!$E:$F,2,FALSE)</f>
        <v xml:space="preserve">擔保品重評明細資料查詢                  </v>
      </c>
      <c r="C477" s="298">
        <v>3</v>
      </c>
      <c r="D477" s="74" t="s">
        <v>1966</v>
      </c>
      <c r="E477" s="71">
        <v>44494</v>
      </c>
      <c r="F477" s="71">
        <v>44494</v>
      </c>
      <c r="G477" s="71">
        <v>44494</v>
      </c>
      <c r="H477" s="71">
        <v>44494</v>
      </c>
      <c r="I477" s="298" t="str">
        <f>VLOOKUP(A477,URS確認!E:I,5,FALSE)</f>
        <v>陳昱衡</v>
      </c>
      <c r="L477" s="298" t="s">
        <v>1479</v>
      </c>
    </row>
    <row r="478" spans="1:13" x14ac:dyDescent="0.3">
      <c r="A478" s="298" t="s">
        <v>254</v>
      </c>
      <c r="B478" s="69" t="str">
        <f>VLOOKUP(A478,URS確認!$E:$F,2,FALSE)</f>
        <v xml:space="preserve">不動產擔保品資料查詢                    </v>
      </c>
      <c r="C478" s="298">
        <v>1</v>
      </c>
      <c r="D478" s="74" t="s">
        <v>1967</v>
      </c>
      <c r="E478" s="71">
        <v>44494</v>
      </c>
      <c r="F478" s="71">
        <v>44494</v>
      </c>
      <c r="G478" s="71">
        <v>44494</v>
      </c>
      <c r="H478" s="71">
        <v>44494</v>
      </c>
      <c r="I478" s="298" t="str">
        <f>VLOOKUP(A478,URS確認!E:I,5,FALSE)</f>
        <v>陳昱衡</v>
      </c>
      <c r="L478" s="298" t="s">
        <v>1479</v>
      </c>
    </row>
    <row r="479" spans="1:13" x14ac:dyDescent="0.3">
      <c r="A479" s="298" t="s">
        <v>270</v>
      </c>
      <c r="B479" s="69" t="str">
        <f>VLOOKUP(A479,URS確認!$E:$F,2,FALSE)</f>
        <v xml:space="preserve">額度與擔保品關聯查詢 </v>
      </c>
      <c r="C479" s="298">
        <v>1</v>
      </c>
      <c r="D479" s="74" t="s">
        <v>1968</v>
      </c>
      <c r="E479" s="71">
        <v>44494</v>
      </c>
      <c r="F479" s="71">
        <v>44494</v>
      </c>
      <c r="G479" s="71">
        <v>44494</v>
      </c>
      <c r="H479" s="71">
        <v>44494</v>
      </c>
      <c r="I479" s="298" t="str">
        <f>VLOOKUP(A479,URS確認!E:I,5,FALSE)</f>
        <v>陳昱衡</v>
      </c>
      <c r="L479" s="298" t="s">
        <v>1479</v>
      </c>
    </row>
    <row r="480" spans="1:13" x14ac:dyDescent="0.3">
      <c r="A480" s="298" t="s">
        <v>871</v>
      </c>
      <c r="B480" s="69" t="str">
        <f>VLOOKUP(A480,URS確認!$E:$F,2,FALSE)</f>
        <v xml:space="preserve">擔保品重評資料登錄                      </v>
      </c>
      <c r="C480" s="298">
        <v>1</v>
      </c>
      <c r="D480" s="74" t="s">
        <v>1969</v>
      </c>
      <c r="E480" s="71">
        <v>44494</v>
      </c>
      <c r="F480" s="71">
        <v>44494</v>
      </c>
      <c r="G480" s="71">
        <v>44494</v>
      </c>
      <c r="H480" s="71">
        <v>44494</v>
      </c>
      <c r="I480" s="298" t="str">
        <f>VLOOKUP(A480,URS確認!E:I,5,FALSE)</f>
        <v>陳昱衡</v>
      </c>
      <c r="L480" s="298" t="s">
        <v>1479</v>
      </c>
    </row>
    <row r="481" spans="1:13" ht="49.5" customHeight="1" x14ac:dyDescent="0.3">
      <c r="A481" s="298" t="s">
        <v>871</v>
      </c>
      <c r="B481" s="69" t="str">
        <f>VLOOKUP(A481,URS確認!$E:$F,2,FALSE)</f>
        <v xml:space="preserve">擔保品重評資料登錄                      </v>
      </c>
      <c r="C481" s="298">
        <v>2</v>
      </c>
      <c r="D481" s="74" t="s">
        <v>1970</v>
      </c>
      <c r="E481" s="71">
        <v>44494</v>
      </c>
      <c r="F481" s="71">
        <v>44503</v>
      </c>
      <c r="G481" s="71">
        <v>44503</v>
      </c>
      <c r="H481" s="71">
        <v>44503</v>
      </c>
      <c r="I481" s="298" t="str">
        <f>VLOOKUP(A481,URS確認!E:I,5,FALSE)</f>
        <v>陳昱衡</v>
      </c>
      <c r="M481" s="298" t="s">
        <v>1495</v>
      </c>
    </row>
    <row r="482" spans="1:13" x14ac:dyDescent="0.3">
      <c r="A482" s="298" t="s">
        <v>401</v>
      </c>
      <c r="B482" s="69" t="str">
        <f>VLOOKUP(A482,URS確認!$E:$F,2,FALSE)</f>
        <v>業務關帳作業</v>
      </c>
      <c r="C482" s="298">
        <v>1</v>
      </c>
      <c r="D482" s="74" t="s">
        <v>1971</v>
      </c>
      <c r="E482" s="71">
        <v>44494</v>
      </c>
      <c r="F482" s="71">
        <v>44533</v>
      </c>
      <c r="G482" s="71">
        <v>44540</v>
      </c>
      <c r="H482" s="71">
        <v>44540</v>
      </c>
      <c r="I482" s="298" t="str">
        <f>VLOOKUP(A482,URS確認!E:I,5,FALSE)</f>
        <v>楊智誠</v>
      </c>
      <c r="M482" s="298" t="s">
        <v>1495</v>
      </c>
    </row>
    <row r="483" spans="1:13" x14ac:dyDescent="0.3">
      <c r="A483" s="298" t="s">
        <v>401</v>
      </c>
      <c r="B483" s="69" t="str">
        <f>VLOOKUP(A483,URS確認!$E:$F,2,FALSE)</f>
        <v>業務關帳作業</v>
      </c>
      <c r="C483" s="298">
        <v>2</v>
      </c>
      <c r="D483" s="74" t="s">
        <v>1972</v>
      </c>
      <c r="E483" s="71">
        <v>44494</v>
      </c>
      <c r="F483" s="71">
        <v>44533</v>
      </c>
      <c r="G483" s="71">
        <v>44540</v>
      </c>
      <c r="H483" s="71">
        <v>44540</v>
      </c>
      <c r="I483" s="298" t="str">
        <f>VLOOKUP(A483,URS確認!E:I,5,FALSE)</f>
        <v>楊智誠</v>
      </c>
      <c r="M483" s="298" t="s">
        <v>1495</v>
      </c>
    </row>
    <row r="484" spans="1:13" ht="34" customHeight="1" x14ac:dyDescent="0.3">
      <c r="A484" s="298" t="s">
        <v>873</v>
      </c>
      <c r="B484" s="69" t="str">
        <f>VLOOKUP(A484,URS確認!$E:$F,2,FALSE)</f>
        <v xml:space="preserve">案件處理清單         </v>
      </c>
      <c r="C484" s="298">
        <v>1</v>
      </c>
      <c r="D484" s="74" t="s">
        <v>1973</v>
      </c>
      <c r="E484" s="71">
        <v>44496</v>
      </c>
      <c r="F484" s="71">
        <v>44511</v>
      </c>
      <c r="G484" s="71" t="s">
        <v>1630</v>
      </c>
      <c r="H484" s="71" t="str">
        <f>G484</f>
        <v>取消不做</v>
      </c>
      <c r="I484" s="298" t="str">
        <f>VLOOKUP(A484,URS確認!E:I,5,FALSE)</f>
        <v>蘇曉玲</v>
      </c>
      <c r="M484" s="298" t="s">
        <v>1495</v>
      </c>
    </row>
    <row r="485" spans="1:13" x14ac:dyDescent="0.3">
      <c r="A485" s="298" t="s">
        <v>877</v>
      </c>
      <c r="B485" s="69" t="str">
        <f>VLOOKUP(A485,URS確認!$E:$F,2,FALSE)</f>
        <v xml:space="preserve">電催明細資料查詢     </v>
      </c>
      <c r="C485" s="298">
        <v>1</v>
      </c>
      <c r="D485" s="74" t="s">
        <v>1974</v>
      </c>
      <c r="E485" s="71">
        <v>44496</v>
      </c>
      <c r="F485" s="71">
        <v>44497</v>
      </c>
      <c r="G485" s="71">
        <v>44497</v>
      </c>
      <c r="H485" s="71">
        <v>44497</v>
      </c>
      <c r="I485" s="298" t="str">
        <f>VLOOKUP(A485,URS確認!E:I,5,FALSE)</f>
        <v>蘇曉玲</v>
      </c>
      <c r="L485" s="298" t="s">
        <v>1479</v>
      </c>
    </row>
    <row r="486" spans="1:13" x14ac:dyDescent="0.3">
      <c r="A486" s="298" t="s">
        <v>877</v>
      </c>
      <c r="B486" s="69" t="str">
        <f>VLOOKUP(A486,URS確認!$E:$F,2,FALSE)</f>
        <v xml:space="preserve">電催明細資料查詢     </v>
      </c>
      <c r="C486" s="298">
        <v>2</v>
      </c>
      <c r="D486" s="74" t="s">
        <v>1975</v>
      </c>
      <c r="E486" s="71">
        <v>44496</v>
      </c>
      <c r="F486" s="71">
        <v>44497</v>
      </c>
      <c r="G486" s="71">
        <v>44497</v>
      </c>
      <c r="H486" s="71">
        <v>44497</v>
      </c>
      <c r="I486" s="298" t="str">
        <f>VLOOKUP(A486,URS確認!E:I,5,FALSE)</f>
        <v>蘇曉玲</v>
      </c>
      <c r="L486" s="298" t="s">
        <v>1479</v>
      </c>
    </row>
    <row r="487" spans="1:13" x14ac:dyDescent="0.3">
      <c r="A487" s="298" t="s">
        <v>881</v>
      </c>
      <c r="B487" s="69" t="str">
        <f>VLOOKUP(A487,URS確認!$E:$F,2,FALSE)</f>
        <v xml:space="preserve">面催明細資料查詢     </v>
      </c>
      <c r="C487" s="298">
        <v>1</v>
      </c>
      <c r="D487" s="74" t="s">
        <v>1974</v>
      </c>
      <c r="E487" s="71">
        <v>44496</v>
      </c>
      <c r="F487" s="71">
        <v>44497</v>
      </c>
      <c r="G487" s="71">
        <v>44497</v>
      </c>
      <c r="H487" s="71">
        <v>44497</v>
      </c>
      <c r="I487" s="298" t="str">
        <f>VLOOKUP(A487,URS確認!E:I,5,FALSE)</f>
        <v>蘇曉玲</v>
      </c>
      <c r="L487" s="298" t="s">
        <v>1479</v>
      </c>
    </row>
    <row r="488" spans="1:13" x14ac:dyDescent="0.3">
      <c r="A488" s="298" t="s">
        <v>881</v>
      </c>
      <c r="B488" s="69" t="str">
        <f>VLOOKUP(A488,URS確認!$E:$F,2,FALSE)</f>
        <v xml:space="preserve">面催明細資料查詢     </v>
      </c>
      <c r="C488" s="298">
        <v>2</v>
      </c>
      <c r="D488" s="74" t="s">
        <v>1975</v>
      </c>
      <c r="E488" s="71">
        <v>44496</v>
      </c>
      <c r="F488" s="71">
        <v>44497</v>
      </c>
      <c r="G488" s="71">
        <v>44497</v>
      </c>
      <c r="H488" s="71">
        <v>44497</v>
      </c>
      <c r="I488" s="298" t="str">
        <f>VLOOKUP(A488,URS確認!E:I,5,FALSE)</f>
        <v>蘇曉玲</v>
      </c>
      <c r="L488" s="298" t="s">
        <v>1479</v>
      </c>
    </row>
    <row r="489" spans="1:13" x14ac:dyDescent="0.3">
      <c r="A489" s="298" t="s">
        <v>881</v>
      </c>
      <c r="B489" s="69" t="str">
        <f>VLOOKUP(A489,URS確認!$E:$F,2,FALSE)</f>
        <v xml:space="preserve">面催明細資料查詢     </v>
      </c>
      <c r="C489" s="298">
        <v>3</v>
      </c>
      <c r="D489" s="74" t="s">
        <v>1976</v>
      </c>
      <c r="E489" s="71">
        <v>44496</v>
      </c>
      <c r="F489" s="71">
        <v>44497</v>
      </c>
      <c r="G489" s="71">
        <v>44497</v>
      </c>
      <c r="H489" s="71">
        <v>44497</v>
      </c>
      <c r="I489" s="298" t="str">
        <f>VLOOKUP(A489,URS確認!E:I,5,FALSE)</f>
        <v>蘇曉玲</v>
      </c>
      <c r="L489" s="298" t="s">
        <v>1479</v>
      </c>
    </row>
    <row r="490" spans="1:13" x14ac:dyDescent="0.3">
      <c r="A490" s="298" t="s">
        <v>885</v>
      </c>
      <c r="B490" s="69" t="str">
        <f>VLOOKUP(A490,URS確認!$E:$F,2,FALSE)</f>
        <v xml:space="preserve">函催明細資料查詢     </v>
      </c>
      <c r="C490" s="298">
        <v>1</v>
      </c>
      <c r="D490" s="74" t="s">
        <v>1974</v>
      </c>
      <c r="E490" s="71">
        <v>44496</v>
      </c>
      <c r="F490" s="71">
        <v>44497</v>
      </c>
      <c r="G490" s="71">
        <v>44497</v>
      </c>
      <c r="H490" s="71">
        <v>44497</v>
      </c>
      <c r="I490" s="298" t="str">
        <f>VLOOKUP(A490,URS確認!E:I,5,FALSE)</f>
        <v>蘇曉玲</v>
      </c>
      <c r="L490" s="298" t="s">
        <v>1479</v>
      </c>
    </row>
    <row r="491" spans="1:13" x14ac:dyDescent="0.3">
      <c r="A491" s="298" t="s">
        <v>885</v>
      </c>
      <c r="B491" s="69" t="str">
        <f>VLOOKUP(A491,URS確認!$E:$F,2,FALSE)</f>
        <v xml:space="preserve">函催明細資料查詢     </v>
      </c>
      <c r="C491" s="298">
        <v>2</v>
      </c>
      <c r="D491" s="74" t="s">
        <v>1975</v>
      </c>
      <c r="E491" s="71">
        <v>44496</v>
      </c>
      <c r="F491" s="71">
        <v>44497</v>
      </c>
      <c r="G491" s="71">
        <v>44497</v>
      </c>
      <c r="H491" s="71">
        <v>44497</v>
      </c>
      <c r="I491" s="298" t="str">
        <f>VLOOKUP(A491,URS確認!E:I,5,FALSE)</f>
        <v>蘇曉玲</v>
      </c>
      <c r="L491" s="298" t="s">
        <v>1479</v>
      </c>
    </row>
    <row r="492" spans="1:13" x14ac:dyDescent="0.3">
      <c r="A492" s="298" t="s">
        <v>889</v>
      </c>
      <c r="B492" s="69" t="str">
        <f>VLOOKUP(A492,URS確認!$E:$F,2,FALSE)</f>
        <v xml:space="preserve">法務進度明細資料查詢 </v>
      </c>
      <c r="C492" s="298">
        <v>1</v>
      </c>
      <c r="D492" s="74" t="s">
        <v>1974</v>
      </c>
      <c r="E492" s="71">
        <v>44496</v>
      </c>
      <c r="F492" s="71">
        <v>44498</v>
      </c>
      <c r="G492" s="71">
        <v>44497</v>
      </c>
      <c r="H492" s="71">
        <v>44497</v>
      </c>
      <c r="I492" s="298" t="str">
        <f>VLOOKUP(A492,URS確認!E:I,5,FALSE)</f>
        <v>蘇曉玲</v>
      </c>
      <c r="L492" s="298" t="s">
        <v>1479</v>
      </c>
    </row>
    <row r="493" spans="1:13" x14ac:dyDescent="0.3">
      <c r="A493" s="298" t="s">
        <v>889</v>
      </c>
      <c r="B493" s="69" t="str">
        <f>VLOOKUP(A493,URS確認!$E:$F,2,FALSE)</f>
        <v xml:space="preserve">法務進度明細資料查詢 </v>
      </c>
      <c r="C493" s="298">
        <v>2</v>
      </c>
      <c r="D493" s="74" t="s">
        <v>1975</v>
      </c>
      <c r="E493" s="71">
        <v>44496</v>
      </c>
      <c r="F493" s="71">
        <v>44498</v>
      </c>
      <c r="G493" s="71">
        <v>44497</v>
      </c>
      <c r="H493" s="71">
        <v>44497</v>
      </c>
      <c r="I493" s="298" t="str">
        <f>VLOOKUP(A493,URS確認!E:I,5,FALSE)</f>
        <v>蘇曉玲</v>
      </c>
      <c r="L493" s="298" t="s">
        <v>1479</v>
      </c>
    </row>
    <row r="494" spans="1:13" x14ac:dyDescent="0.3">
      <c r="A494" s="298" t="s">
        <v>889</v>
      </c>
      <c r="B494" s="69" t="str">
        <f>VLOOKUP(A494,URS確認!$E:$F,2,FALSE)</f>
        <v xml:space="preserve">法務進度明細資料查詢 </v>
      </c>
      <c r="C494" s="298">
        <v>3</v>
      </c>
      <c r="D494" s="74" t="s">
        <v>1977</v>
      </c>
      <c r="E494" s="71">
        <v>44496</v>
      </c>
      <c r="F494" s="71">
        <v>44498</v>
      </c>
      <c r="G494" s="71">
        <v>44497</v>
      </c>
      <c r="H494" s="71">
        <v>44497</v>
      </c>
      <c r="I494" s="298" t="str">
        <f>VLOOKUP(A494,URS確認!E:I,5,FALSE)</f>
        <v>蘇曉玲</v>
      </c>
      <c r="L494" s="298" t="s">
        <v>1479</v>
      </c>
    </row>
    <row r="495" spans="1:13" x14ac:dyDescent="0.4">
      <c r="A495" s="298" t="s">
        <v>893</v>
      </c>
      <c r="B495" s="69" t="str">
        <f>VLOOKUP(A495,URS確認!$E:$F,2,FALSE)</f>
        <v xml:space="preserve">提醒事項查詢         </v>
      </c>
      <c r="C495" s="298">
        <v>1</v>
      </c>
      <c r="D495" s="68" t="s">
        <v>1974</v>
      </c>
      <c r="E495" s="71">
        <v>44496</v>
      </c>
      <c r="F495" s="71">
        <v>44498</v>
      </c>
      <c r="G495" s="71">
        <v>44497</v>
      </c>
      <c r="H495" s="71">
        <v>44497</v>
      </c>
      <c r="I495" s="298" t="str">
        <f>VLOOKUP(A495,URS確認!E:I,5,FALSE)</f>
        <v>蘇曉玲</v>
      </c>
      <c r="L495" s="298" t="s">
        <v>1479</v>
      </c>
    </row>
    <row r="496" spans="1:13" x14ac:dyDescent="0.4">
      <c r="A496" s="298" t="s">
        <v>893</v>
      </c>
      <c r="B496" s="69" t="str">
        <f>VLOOKUP(A496,URS確認!$E:$F,2,FALSE)</f>
        <v xml:space="preserve">提醒事項查詢         </v>
      </c>
      <c r="C496" s="298">
        <v>2</v>
      </c>
      <c r="D496" s="68" t="s">
        <v>1975</v>
      </c>
      <c r="E496" s="71">
        <v>44496</v>
      </c>
      <c r="F496" s="71">
        <v>44498</v>
      </c>
      <c r="G496" s="71">
        <v>44497</v>
      </c>
      <c r="H496" s="71">
        <v>44497</v>
      </c>
      <c r="I496" s="298" t="str">
        <f>VLOOKUP(A496,URS確認!E:I,5,FALSE)</f>
        <v>蘇曉玲</v>
      </c>
      <c r="L496" s="298" t="s">
        <v>1479</v>
      </c>
    </row>
    <row r="497" spans="1:13" x14ac:dyDescent="0.3">
      <c r="A497" s="298" t="s">
        <v>893</v>
      </c>
      <c r="B497" s="69" t="str">
        <f>VLOOKUP(A497,URS確認!$E:$F,2,FALSE)</f>
        <v xml:space="preserve">提醒事項查詢         </v>
      </c>
      <c r="C497" s="298">
        <v>3</v>
      </c>
      <c r="D497" s="74" t="s">
        <v>1978</v>
      </c>
      <c r="E497" s="71">
        <v>44496</v>
      </c>
      <c r="F497" s="71">
        <v>44498</v>
      </c>
      <c r="G497" s="71">
        <v>44497</v>
      </c>
      <c r="H497" s="71">
        <v>44497</v>
      </c>
      <c r="I497" s="298" t="str">
        <f>VLOOKUP(A497,URS確認!E:I,5,FALSE)</f>
        <v>蘇曉玲</v>
      </c>
      <c r="L497" s="298" t="s">
        <v>1479</v>
      </c>
    </row>
    <row r="498" spans="1:13" x14ac:dyDescent="0.3">
      <c r="A498" s="298" t="s">
        <v>879</v>
      </c>
      <c r="B498" s="69" t="str">
        <f>VLOOKUP(A498,URS確認!$E:$F,2,FALSE)</f>
        <v xml:space="preserve">電催登錄             </v>
      </c>
      <c r="C498" s="298">
        <v>1</v>
      </c>
      <c r="D498" s="74" t="s">
        <v>1979</v>
      </c>
      <c r="E498" s="71">
        <v>44496</v>
      </c>
      <c r="F498" s="71">
        <v>44503</v>
      </c>
      <c r="G498" s="71">
        <v>44503</v>
      </c>
      <c r="H498" s="71">
        <v>44504</v>
      </c>
      <c r="I498" s="298" t="str">
        <f>VLOOKUP(A498,URS確認!E:I,5,FALSE)</f>
        <v>蘇曉玲</v>
      </c>
      <c r="L498" s="298" t="s">
        <v>1479</v>
      </c>
    </row>
    <row r="499" spans="1:13" x14ac:dyDescent="0.3">
      <c r="A499" s="298" t="s">
        <v>879</v>
      </c>
      <c r="B499" s="69" t="str">
        <f>VLOOKUP(A499,URS確認!$E:$F,2,FALSE)</f>
        <v xml:space="preserve">電催登錄             </v>
      </c>
      <c r="C499" s="298">
        <v>2</v>
      </c>
      <c r="D499" s="74" t="s">
        <v>1980</v>
      </c>
      <c r="E499" s="71">
        <v>44496</v>
      </c>
      <c r="F499" s="71">
        <v>44503</v>
      </c>
      <c r="G499" s="71">
        <v>44503</v>
      </c>
      <c r="H499" s="71">
        <v>44504</v>
      </c>
      <c r="I499" s="298" t="str">
        <f>VLOOKUP(A499,URS確認!E:I,5,FALSE)</f>
        <v>蘇曉玲</v>
      </c>
      <c r="L499" s="298" t="s">
        <v>1479</v>
      </c>
    </row>
    <row r="500" spans="1:13" ht="33" customHeight="1" x14ac:dyDescent="0.3">
      <c r="A500" s="298" t="s">
        <v>883</v>
      </c>
      <c r="B500" s="69" t="str">
        <f>VLOOKUP(A500,URS確認!$E:$F,2,FALSE)</f>
        <v xml:space="preserve">面催登錄             </v>
      </c>
      <c r="C500" s="298">
        <v>1</v>
      </c>
      <c r="D500" s="74" t="s">
        <v>1981</v>
      </c>
      <c r="E500" s="71">
        <v>44496</v>
      </c>
      <c r="F500" s="71">
        <v>44511</v>
      </c>
      <c r="G500" s="71">
        <v>44503</v>
      </c>
      <c r="H500" s="71">
        <v>44504</v>
      </c>
      <c r="I500" s="298" t="str">
        <f>VLOOKUP(A500,URS確認!E:I,5,FALSE)</f>
        <v>蘇曉玲</v>
      </c>
      <c r="L500" s="298" t="s">
        <v>1479</v>
      </c>
    </row>
    <row r="501" spans="1:13" x14ac:dyDescent="0.3">
      <c r="A501" s="298" t="s">
        <v>883</v>
      </c>
      <c r="B501" s="69" t="str">
        <f>VLOOKUP(A501,URS確認!$E:$F,2,FALSE)</f>
        <v xml:space="preserve">面催登錄             </v>
      </c>
      <c r="C501" s="298">
        <v>2</v>
      </c>
      <c r="D501" s="74" t="s">
        <v>1980</v>
      </c>
      <c r="E501" s="71">
        <v>44496</v>
      </c>
      <c r="F501" s="71">
        <v>44511</v>
      </c>
      <c r="G501" s="71">
        <v>44503</v>
      </c>
      <c r="H501" s="71">
        <v>44504</v>
      </c>
      <c r="I501" s="298" t="str">
        <f>VLOOKUP(A501,URS確認!E:I,5,FALSE)</f>
        <v>蘇曉玲</v>
      </c>
      <c r="L501" s="298" t="s">
        <v>1479</v>
      </c>
    </row>
    <row r="502" spans="1:13" x14ac:dyDescent="0.3">
      <c r="A502" s="298" t="s">
        <v>883</v>
      </c>
      <c r="B502" s="69" t="str">
        <f>VLOOKUP(A502,URS確認!$E:$F,2,FALSE)</f>
        <v xml:space="preserve">面催登錄             </v>
      </c>
      <c r="C502" s="298">
        <v>3</v>
      </c>
      <c r="D502" s="74" t="s">
        <v>1982</v>
      </c>
      <c r="E502" s="71">
        <v>44496</v>
      </c>
      <c r="F502" s="71">
        <v>44511</v>
      </c>
      <c r="G502" s="71">
        <v>44503</v>
      </c>
      <c r="H502" s="71">
        <v>44504</v>
      </c>
      <c r="I502" s="298" t="str">
        <f>VLOOKUP(A502,URS確認!E:I,5,FALSE)</f>
        <v>蘇曉玲</v>
      </c>
      <c r="L502" s="298" t="s">
        <v>1479</v>
      </c>
    </row>
    <row r="503" spans="1:13" ht="33" customHeight="1" x14ac:dyDescent="0.4">
      <c r="A503" s="298" t="s">
        <v>883</v>
      </c>
      <c r="B503" s="69" t="str">
        <f>VLOOKUP(A503,URS確認!$E:$F,2,FALSE)</f>
        <v xml:space="preserve">面催登錄             </v>
      </c>
      <c r="C503" s="298">
        <v>4</v>
      </c>
      <c r="D503" s="210" t="s">
        <v>1983</v>
      </c>
      <c r="E503" s="71">
        <v>44496</v>
      </c>
      <c r="F503" s="71">
        <v>44511</v>
      </c>
      <c r="G503" s="71">
        <v>44503</v>
      </c>
      <c r="H503" s="71">
        <v>44504</v>
      </c>
      <c r="I503" s="298" t="str">
        <f>VLOOKUP(A503,URS確認!E:I,5,FALSE)</f>
        <v>蘇曉玲</v>
      </c>
      <c r="M503" s="298" t="s">
        <v>1495</v>
      </c>
    </row>
    <row r="504" spans="1:13" x14ac:dyDescent="0.3">
      <c r="A504" s="298" t="s">
        <v>883</v>
      </c>
      <c r="B504" s="69" t="str">
        <f>VLOOKUP(A504,URS確認!$E:$F,2,FALSE)</f>
        <v xml:space="preserve">面催登錄             </v>
      </c>
      <c r="C504" s="298">
        <v>5</v>
      </c>
      <c r="D504" s="74" t="s">
        <v>1984</v>
      </c>
      <c r="E504" s="71">
        <v>44496</v>
      </c>
      <c r="F504" s="71">
        <v>44511</v>
      </c>
      <c r="G504" s="71">
        <v>44503</v>
      </c>
      <c r="H504" s="71">
        <v>44504</v>
      </c>
      <c r="I504" s="298" t="str">
        <f>VLOOKUP(A504,URS確認!E:I,5,FALSE)</f>
        <v>蘇曉玲</v>
      </c>
      <c r="L504" s="298" t="s">
        <v>1479</v>
      </c>
    </row>
    <row r="505" spans="1:13" x14ac:dyDescent="0.3">
      <c r="A505" s="298" t="s">
        <v>887</v>
      </c>
      <c r="B505" s="69" t="str">
        <f>VLOOKUP(A505,URS確認!$E:$F,2,FALSE)</f>
        <v xml:space="preserve">函催登錄             </v>
      </c>
      <c r="C505" s="298">
        <v>1</v>
      </c>
      <c r="D505" s="74" t="s">
        <v>1979</v>
      </c>
      <c r="E505" s="71">
        <v>44496</v>
      </c>
      <c r="F505" s="71">
        <v>44503</v>
      </c>
      <c r="G505" s="71">
        <v>44503</v>
      </c>
      <c r="H505" s="71">
        <v>44504</v>
      </c>
      <c r="I505" s="298" t="str">
        <f>VLOOKUP(A505,URS確認!E:I,5,FALSE)</f>
        <v>蘇曉玲</v>
      </c>
      <c r="L505" s="298" t="s">
        <v>1479</v>
      </c>
    </row>
    <row r="506" spans="1:13" x14ac:dyDescent="0.3">
      <c r="A506" s="298" t="s">
        <v>887</v>
      </c>
      <c r="B506" s="69" t="str">
        <f>VLOOKUP(A506,URS確認!$E:$F,2,FALSE)</f>
        <v xml:space="preserve">函催登錄             </v>
      </c>
      <c r="C506" s="298">
        <v>2</v>
      </c>
      <c r="D506" s="74" t="s">
        <v>1980</v>
      </c>
      <c r="E506" s="71">
        <v>44496</v>
      </c>
      <c r="F506" s="71">
        <v>44503</v>
      </c>
      <c r="G506" s="71">
        <v>44503</v>
      </c>
      <c r="H506" s="71">
        <v>44504</v>
      </c>
      <c r="I506" s="298" t="str">
        <f>VLOOKUP(A506,URS確認!E:I,5,FALSE)</f>
        <v>蘇曉玲</v>
      </c>
      <c r="L506" s="298" t="s">
        <v>1479</v>
      </c>
    </row>
    <row r="507" spans="1:13" x14ac:dyDescent="0.3">
      <c r="A507" s="298" t="s">
        <v>891</v>
      </c>
      <c r="B507" s="69" t="str">
        <f>VLOOKUP(A507,URS確認!$E:$F,2,FALSE)</f>
        <v xml:space="preserve">法務進度登錄         </v>
      </c>
      <c r="C507" s="298">
        <v>1</v>
      </c>
      <c r="D507" s="74" t="s">
        <v>1979</v>
      </c>
      <c r="E507" s="71">
        <v>44496</v>
      </c>
      <c r="F507" s="71">
        <v>44511</v>
      </c>
      <c r="G507" s="71">
        <v>44504</v>
      </c>
      <c r="H507" s="71">
        <v>44504</v>
      </c>
      <c r="I507" s="298" t="str">
        <f>VLOOKUP(A507,URS確認!E:I,5,FALSE)</f>
        <v>蘇曉玲</v>
      </c>
      <c r="L507" s="298" t="s">
        <v>1479</v>
      </c>
    </row>
    <row r="508" spans="1:13" x14ac:dyDescent="0.3">
      <c r="A508" s="298" t="s">
        <v>891</v>
      </c>
      <c r="B508" s="69" t="str">
        <f>VLOOKUP(A508,URS確認!$E:$F,2,FALSE)</f>
        <v xml:space="preserve">法務進度登錄         </v>
      </c>
      <c r="C508" s="298">
        <v>2</v>
      </c>
      <c r="D508" s="74" t="s">
        <v>1980</v>
      </c>
      <c r="E508" s="71">
        <v>44496</v>
      </c>
      <c r="F508" s="71">
        <v>44511</v>
      </c>
      <c r="G508" s="71">
        <v>44504</v>
      </c>
      <c r="H508" s="71">
        <v>44504</v>
      </c>
      <c r="I508" s="298" t="str">
        <f>VLOOKUP(A508,URS確認!E:I,5,FALSE)</f>
        <v>蘇曉玲</v>
      </c>
      <c r="L508" s="298" t="s">
        <v>1479</v>
      </c>
    </row>
    <row r="509" spans="1:13" x14ac:dyDescent="0.3">
      <c r="A509" s="298" t="s">
        <v>891</v>
      </c>
      <c r="B509" s="69" t="str">
        <f>VLOOKUP(A509,URS確認!$E:$F,2,FALSE)</f>
        <v xml:space="preserve">法務進度登錄         </v>
      </c>
      <c r="C509" s="298">
        <v>3</v>
      </c>
      <c r="D509" s="74" t="s">
        <v>1985</v>
      </c>
      <c r="E509" s="71">
        <v>44496</v>
      </c>
      <c r="F509" s="71">
        <v>44511</v>
      </c>
      <c r="G509" s="71">
        <v>44504</v>
      </c>
      <c r="H509" s="71">
        <v>44504</v>
      </c>
      <c r="I509" s="298" t="str">
        <f>VLOOKUP(A509,URS確認!E:I,5,FALSE)</f>
        <v>蘇曉玲</v>
      </c>
      <c r="M509" s="298" t="s">
        <v>1495</v>
      </c>
    </row>
    <row r="510" spans="1:13" x14ac:dyDescent="0.3">
      <c r="A510" s="298" t="s">
        <v>891</v>
      </c>
      <c r="B510" s="69" t="str">
        <f>VLOOKUP(A510,URS確認!$E:$F,2,FALSE)</f>
        <v xml:space="preserve">法務進度登錄         </v>
      </c>
      <c r="C510" s="298">
        <v>4</v>
      </c>
      <c r="D510" s="74" t="s">
        <v>1986</v>
      </c>
      <c r="E510" s="71">
        <v>44496</v>
      </c>
      <c r="F510" s="71">
        <v>44511</v>
      </c>
      <c r="G510" s="71">
        <v>44504</v>
      </c>
      <c r="H510" s="71">
        <v>44504</v>
      </c>
      <c r="I510" s="298" t="str">
        <f>VLOOKUP(A510,URS確認!E:I,5,FALSE)</f>
        <v>蘇曉玲</v>
      </c>
      <c r="M510" s="298" t="s">
        <v>1495</v>
      </c>
    </row>
    <row r="511" spans="1:13" x14ac:dyDescent="0.3">
      <c r="A511" s="298" t="s">
        <v>895</v>
      </c>
      <c r="B511" s="69" t="str">
        <f>VLOOKUP(A511,URS確認!$E:$F,2,FALSE)</f>
        <v xml:space="preserve">提醒事項登錄         </v>
      </c>
      <c r="C511" s="298">
        <v>1</v>
      </c>
      <c r="D511" s="74" t="s">
        <v>1987</v>
      </c>
      <c r="E511" s="71">
        <v>44496</v>
      </c>
      <c r="F511" s="71">
        <v>44503</v>
      </c>
      <c r="G511" s="71">
        <v>44501</v>
      </c>
      <c r="H511" s="71">
        <v>44501</v>
      </c>
      <c r="I511" s="298" t="str">
        <f>VLOOKUP(A511,URS確認!E:I,5,FALSE)</f>
        <v>蘇曉玲</v>
      </c>
      <c r="L511" s="298" t="s">
        <v>1479</v>
      </c>
    </row>
    <row r="512" spans="1:13" x14ac:dyDescent="0.3">
      <c r="A512" s="298" t="s">
        <v>895</v>
      </c>
      <c r="B512" s="69" t="str">
        <f>VLOOKUP(A512,URS確認!$E:$F,2,FALSE)</f>
        <v xml:space="preserve">提醒事項登錄         </v>
      </c>
      <c r="C512" s="298">
        <v>2</v>
      </c>
      <c r="D512" s="74" t="s">
        <v>1988</v>
      </c>
      <c r="E512" s="71">
        <v>44496</v>
      </c>
      <c r="F512" s="71">
        <v>44503</v>
      </c>
      <c r="G512" s="71">
        <v>44501</v>
      </c>
      <c r="H512" s="71">
        <v>44501</v>
      </c>
      <c r="I512" s="298" t="str">
        <f>VLOOKUP(A512,URS確認!E:I,5,FALSE)</f>
        <v>蘇曉玲</v>
      </c>
      <c r="L512" s="298" t="s">
        <v>1479</v>
      </c>
    </row>
    <row r="513" spans="1:13" x14ac:dyDescent="0.3">
      <c r="A513" s="298" t="s">
        <v>895</v>
      </c>
      <c r="B513" s="69" t="str">
        <f>VLOOKUP(A513,URS確認!$E:$F,2,FALSE)</f>
        <v xml:space="preserve">提醒事項登錄         </v>
      </c>
      <c r="C513" s="298">
        <v>3</v>
      </c>
      <c r="D513" s="74" t="s">
        <v>1989</v>
      </c>
      <c r="E513" s="71">
        <v>44496</v>
      </c>
      <c r="F513" s="71">
        <v>44503</v>
      </c>
      <c r="G513" s="71">
        <v>44501</v>
      </c>
      <c r="H513" s="71">
        <v>44501</v>
      </c>
      <c r="I513" s="298" t="str">
        <f>VLOOKUP(A513,URS確認!E:I,5,FALSE)</f>
        <v>蘇曉玲</v>
      </c>
      <c r="L513" s="298" t="s">
        <v>1479</v>
      </c>
    </row>
    <row r="514" spans="1:13" x14ac:dyDescent="0.3">
      <c r="A514" s="298" t="s">
        <v>897</v>
      </c>
      <c r="B514" s="69" t="str">
        <f>VLOOKUP(A514,URS確認!$E:$F,2,FALSE)</f>
        <v>催收催繳明細</v>
      </c>
      <c r="C514" s="298">
        <v>1</v>
      </c>
      <c r="D514" s="74" t="s">
        <v>1990</v>
      </c>
      <c r="E514" s="71">
        <v>44496</v>
      </c>
      <c r="F514" s="71">
        <v>44511</v>
      </c>
      <c r="G514" s="71">
        <v>44498</v>
      </c>
      <c r="H514" s="71">
        <v>44501</v>
      </c>
      <c r="I514" s="298" t="str">
        <f>VLOOKUP(A514,URS確認!E:I,5,FALSE)</f>
        <v>蘇曉玲</v>
      </c>
      <c r="M514" s="298" t="s">
        <v>1495</v>
      </c>
    </row>
    <row r="515" spans="1:13" x14ac:dyDescent="0.3">
      <c r="A515" s="298" t="s">
        <v>962</v>
      </c>
      <c r="B515" s="69" t="str">
        <f>VLOOKUP(A515,URS確認!$E:$F,2,FALSE)</f>
        <v>授信審議委員會會議紀錄明細資料查詢</v>
      </c>
      <c r="C515" s="298">
        <v>1</v>
      </c>
      <c r="D515" s="74" t="s">
        <v>1991</v>
      </c>
      <c r="E515" s="71">
        <v>44496</v>
      </c>
      <c r="F515" s="71">
        <v>44508</v>
      </c>
      <c r="G515" s="71">
        <v>44508</v>
      </c>
      <c r="H515" s="71">
        <v>44508</v>
      </c>
      <c r="I515" s="298" t="s">
        <v>123</v>
      </c>
    </row>
    <row r="516" spans="1:13" x14ac:dyDescent="0.3">
      <c r="A516" s="298" t="s">
        <v>962</v>
      </c>
      <c r="B516" s="69" t="str">
        <f>VLOOKUP(A516,URS確認!$E:$F,2,FALSE)</f>
        <v>授信審議委員會會議紀錄明細資料查詢</v>
      </c>
      <c r="C516" s="298">
        <v>2</v>
      </c>
      <c r="D516" s="74" t="s">
        <v>1992</v>
      </c>
      <c r="E516" s="71">
        <v>44496</v>
      </c>
      <c r="F516" s="71">
        <v>44508</v>
      </c>
      <c r="G516" s="71">
        <v>44508</v>
      </c>
      <c r="H516" s="71">
        <v>44508</v>
      </c>
      <c r="I516" s="298" t="s">
        <v>123</v>
      </c>
    </row>
    <row r="517" spans="1:13" x14ac:dyDescent="0.3">
      <c r="A517" s="298" t="s">
        <v>962</v>
      </c>
      <c r="B517" s="69" t="str">
        <f>VLOOKUP(A517,URS確認!$E:$F,2,FALSE)</f>
        <v>授信審議委員會會議紀錄明細資料查詢</v>
      </c>
      <c r="C517" s="298">
        <v>3</v>
      </c>
      <c r="D517" s="74" t="s">
        <v>1993</v>
      </c>
      <c r="E517" s="71">
        <v>44496</v>
      </c>
      <c r="F517" s="71">
        <v>44508</v>
      </c>
      <c r="G517" s="71">
        <v>44508</v>
      </c>
      <c r="H517" s="71">
        <v>44508</v>
      </c>
      <c r="I517" s="298" t="s">
        <v>123</v>
      </c>
    </row>
    <row r="518" spans="1:13" x14ac:dyDescent="0.3">
      <c r="A518" s="298" t="s">
        <v>966</v>
      </c>
      <c r="B518" s="69" t="str">
        <f>VLOOKUP(A518,URS確認!$E:$F,2,FALSE)</f>
        <v>授信審議委員會會議紀錄維護</v>
      </c>
      <c r="C518" s="298">
        <v>1</v>
      </c>
      <c r="D518" s="74" t="s">
        <v>1991</v>
      </c>
      <c r="E518" s="71">
        <v>44496</v>
      </c>
      <c r="F518" s="71">
        <v>44508</v>
      </c>
      <c r="G518" s="71">
        <v>44508</v>
      </c>
      <c r="H518" s="71">
        <v>44508</v>
      </c>
      <c r="I518" s="298" t="s">
        <v>123</v>
      </c>
    </row>
    <row r="519" spans="1:13" x14ac:dyDescent="0.3">
      <c r="A519" s="298" t="s">
        <v>966</v>
      </c>
      <c r="B519" s="69" t="str">
        <f>VLOOKUP(A519,URS確認!$E:$F,2,FALSE)</f>
        <v>授信審議委員會會議紀錄維護</v>
      </c>
      <c r="C519" s="298">
        <v>2</v>
      </c>
      <c r="D519" s="74" t="s">
        <v>1994</v>
      </c>
      <c r="E519" s="71">
        <v>44496</v>
      </c>
      <c r="F519" s="71">
        <v>44508</v>
      </c>
      <c r="G519" s="71">
        <v>44508</v>
      </c>
      <c r="H519" s="71">
        <v>44508</v>
      </c>
      <c r="I519" s="298" t="s">
        <v>123</v>
      </c>
    </row>
    <row r="520" spans="1:13" x14ac:dyDescent="0.3">
      <c r="A520" s="298" t="s">
        <v>966</v>
      </c>
      <c r="B520" s="69" t="str">
        <f>VLOOKUP(A520,URS確認!$E:$F,2,FALSE)</f>
        <v>授信審議委員會會議紀錄維護</v>
      </c>
      <c r="C520" s="298">
        <v>3</v>
      </c>
      <c r="D520" s="74" t="s">
        <v>1995</v>
      </c>
      <c r="E520" s="71">
        <v>44496</v>
      </c>
      <c r="F520" s="71">
        <v>44508</v>
      </c>
      <c r="G520" s="71">
        <v>44508</v>
      </c>
      <c r="H520" s="71">
        <v>44508</v>
      </c>
      <c r="I520" s="298" t="s">
        <v>123</v>
      </c>
    </row>
    <row r="521" spans="1:13" ht="34" customHeight="1" x14ac:dyDescent="0.3">
      <c r="A521" s="298" t="s">
        <v>978</v>
      </c>
      <c r="B521" s="69" t="str">
        <f>VLOOKUP(A521,URS確認!$E:$F,2,FALSE)</f>
        <v>覆審案件明細檔查詢</v>
      </c>
      <c r="C521" s="298">
        <v>1</v>
      </c>
      <c r="D521" s="74" t="s">
        <v>1996</v>
      </c>
      <c r="E521" s="71">
        <v>44496</v>
      </c>
      <c r="F521" s="71">
        <v>44510</v>
      </c>
      <c r="G521" s="71">
        <v>44510</v>
      </c>
      <c r="H521" s="71">
        <v>44510</v>
      </c>
      <c r="I521" s="298" t="str">
        <f>VLOOKUP(A521,URS確認!E:I,5,FALSE)</f>
        <v>張嘉榮</v>
      </c>
    </row>
    <row r="522" spans="1:13" x14ac:dyDescent="0.3">
      <c r="A522" s="298" t="s">
        <v>978</v>
      </c>
      <c r="B522" s="69" t="str">
        <f>VLOOKUP(A522,URS確認!$E:$F,2,FALSE)</f>
        <v>覆審案件明細檔查詢</v>
      </c>
      <c r="C522" s="298">
        <v>2</v>
      </c>
      <c r="D522" s="74" t="s">
        <v>1997</v>
      </c>
      <c r="E522" s="71">
        <v>44496</v>
      </c>
      <c r="F522" s="71">
        <v>44510</v>
      </c>
      <c r="G522" s="71">
        <v>44510</v>
      </c>
      <c r="H522" s="71">
        <v>44510</v>
      </c>
      <c r="I522" s="298" t="str">
        <f>VLOOKUP(A522,URS確認!E:I,5,FALSE)</f>
        <v>張嘉榮</v>
      </c>
    </row>
    <row r="523" spans="1:13" x14ac:dyDescent="0.3">
      <c r="A523" s="298" t="s">
        <v>978</v>
      </c>
      <c r="B523" s="69" t="str">
        <f>VLOOKUP(A523,URS確認!$E:$F,2,FALSE)</f>
        <v>覆審案件明細檔查詢</v>
      </c>
      <c r="C523" s="298">
        <v>3</v>
      </c>
      <c r="D523" s="74" t="s">
        <v>1998</v>
      </c>
      <c r="E523" s="71">
        <v>44496</v>
      </c>
      <c r="F523" s="71">
        <v>44510</v>
      </c>
      <c r="G523" s="71">
        <v>44510</v>
      </c>
      <c r="H523" s="71">
        <v>44510</v>
      </c>
      <c r="I523" s="298" t="str">
        <f>VLOOKUP(A523,URS確認!E:I,5,FALSE)</f>
        <v>張嘉榮</v>
      </c>
    </row>
    <row r="524" spans="1:13" x14ac:dyDescent="0.3">
      <c r="A524" s="298" t="s">
        <v>979</v>
      </c>
      <c r="B524" s="69" t="str">
        <f>VLOOKUP(A524,URS確認!$E:$F,2,FALSE)</f>
        <v>覆審案件明細檔維護</v>
      </c>
      <c r="C524" s="298">
        <v>1</v>
      </c>
      <c r="D524" s="74" t="s">
        <v>1999</v>
      </c>
      <c r="E524" s="71">
        <v>44496</v>
      </c>
      <c r="F524" s="71">
        <v>44510</v>
      </c>
      <c r="G524" s="71">
        <v>44510</v>
      </c>
      <c r="H524" s="71">
        <v>44510</v>
      </c>
      <c r="I524" s="298" t="str">
        <f>VLOOKUP(A524,URS確認!E:I,5,FALSE)</f>
        <v>張嘉榮</v>
      </c>
    </row>
    <row r="525" spans="1:13" x14ac:dyDescent="0.3">
      <c r="A525" s="298" t="s">
        <v>979</v>
      </c>
      <c r="B525" s="69" t="str">
        <f>VLOOKUP(A525,URS確認!$E:$F,2,FALSE)</f>
        <v>覆審案件明細檔維護</v>
      </c>
      <c r="C525" s="298">
        <v>2</v>
      </c>
      <c r="D525" s="74" t="s">
        <v>2000</v>
      </c>
      <c r="E525" s="71">
        <v>44496</v>
      </c>
      <c r="F525" s="71">
        <v>44510</v>
      </c>
      <c r="G525" s="71">
        <v>44510</v>
      </c>
      <c r="H525" s="71">
        <v>44510</v>
      </c>
      <c r="I525" s="298" t="str">
        <f>VLOOKUP(A525,URS確認!E:I,5,FALSE)</f>
        <v>張嘉榮</v>
      </c>
    </row>
    <row r="526" spans="1:13" x14ac:dyDescent="0.3">
      <c r="A526" s="298" t="s">
        <v>925</v>
      </c>
      <c r="B526" s="69" t="str">
        <f>VLOOKUP(A526,URS確認!$E:$F,2,FALSE)</f>
        <v>疑似洗錢樣態條件設定</v>
      </c>
      <c r="C526" s="298">
        <v>1</v>
      </c>
      <c r="D526" s="74" t="s">
        <v>2467</v>
      </c>
      <c r="E526" s="71">
        <v>44498</v>
      </c>
      <c r="F526" s="71">
        <v>44515</v>
      </c>
      <c r="G526" s="71">
        <v>44515</v>
      </c>
      <c r="H526" s="71">
        <v>44515</v>
      </c>
      <c r="I526" s="298" t="str">
        <f>VLOOKUP(A526,URS確認!E:I,5,FALSE)</f>
        <v>楊智誠</v>
      </c>
    </row>
    <row r="527" spans="1:13" x14ac:dyDescent="0.4">
      <c r="A527" s="298" t="s">
        <v>931</v>
      </c>
      <c r="B527" s="69" t="str">
        <f>VLOOKUP(A527,URS確認!$E:$F,2,FALSE)</f>
        <v>疑似洗錢樣態資料產生</v>
      </c>
      <c r="C527" s="298">
        <v>1</v>
      </c>
      <c r="D527" s="68" t="s">
        <v>2001</v>
      </c>
      <c r="E527" s="71">
        <v>44498</v>
      </c>
      <c r="F527" s="71">
        <v>44533</v>
      </c>
      <c r="G527" s="71">
        <v>44540</v>
      </c>
      <c r="H527" s="71">
        <v>44540</v>
      </c>
      <c r="I527" s="298" t="str">
        <f>VLOOKUP(A527,URS確認!E:I,5,FALSE)</f>
        <v>楊智誠</v>
      </c>
    </row>
    <row r="528" spans="1:13" x14ac:dyDescent="0.3">
      <c r="A528" s="298" t="s">
        <v>938</v>
      </c>
      <c r="B528" s="69" t="str">
        <f>VLOOKUP(A528,URS確認!$E:$F,2,FALSE)</f>
        <v>疑似洗錢交易合理性維護</v>
      </c>
      <c r="C528" s="298">
        <v>1</v>
      </c>
      <c r="D528" s="74" t="s">
        <v>2002</v>
      </c>
      <c r="E528" s="71">
        <v>44498</v>
      </c>
      <c r="F528" s="71">
        <v>44515</v>
      </c>
      <c r="G528" s="71">
        <v>44515</v>
      </c>
      <c r="H528" s="71">
        <v>44515</v>
      </c>
      <c r="I528" s="298" t="str">
        <f>VLOOKUP(A528,URS確認!E:I,5,FALSE)</f>
        <v>楊智誠</v>
      </c>
    </row>
    <row r="529" spans="1:9" x14ac:dyDescent="0.3">
      <c r="A529" s="298" t="s">
        <v>938</v>
      </c>
      <c r="B529" s="69" t="str">
        <f>VLOOKUP(A529,URS確認!$E:$F,2,FALSE)</f>
        <v>疑似洗錢交易合理性維護</v>
      </c>
      <c r="C529" s="298">
        <v>2</v>
      </c>
      <c r="D529" s="74" t="s">
        <v>2003</v>
      </c>
      <c r="E529" s="71">
        <v>44498</v>
      </c>
      <c r="F529" s="71">
        <v>44515</v>
      </c>
      <c r="G529" s="71">
        <v>44515</v>
      </c>
      <c r="H529" s="71">
        <v>44515</v>
      </c>
      <c r="I529" s="298" t="str">
        <f>VLOOKUP(A529,URS確認!E:I,5,FALSE)</f>
        <v>楊智誠</v>
      </c>
    </row>
    <row r="530" spans="1:9" x14ac:dyDescent="0.3">
      <c r="A530" s="298" t="s">
        <v>938</v>
      </c>
      <c r="B530" s="69" t="str">
        <f>VLOOKUP(A530,URS確認!$E:$F,2,FALSE)</f>
        <v>疑似洗錢交易合理性維護</v>
      </c>
      <c r="C530" s="298">
        <v>3</v>
      </c>
      <c r="D530" s="74" t="s">
        <v>2004</v>
      </c>
      <c r="E530" s="71">
        <v>44498</v>
      </c>
      <c r="F530" s="71">
        <v>44515</v>
      </c>
      <c r="G530" s="71">
        <v>44515</v>
      </c>
      <c r="H530" s="71">
        <v>44515</v>
      </c>
      <c r="I530" s="298" t="str">
        <f>VLOOKUP(A530,URS確認!E:I,5,FALSE)</f>
        <v>楊智誠</v>
      </c>
    </row>
    <row r="531" spans="1:9" x14ac:dyDescent="0.3">
      <c r="A531" s="298" t="s">
        <v>938</v>
      </c>
      <c r="B531" s="69" t="str">
        <f>VLOOKUP(A531,URS確認!$E:$F,2,FALSE)</f>
        <v>疑似洗錢交易合理性維護</v>
      </c>
      <c r="C531" s="298">
        <v>4</v>
      </c>
      <c r="D531" s="74" t="s">
        <v>2005</v>
      </c>
      <c r="E531" s="71">
        <v>44498</v>
      </c>
      <c r="F531" s="71">
        <v>44515</v>
      </c>
      <c r="G531" s="71">
        <v>44515</v>
      </c>
      <c r="H531" s="71">
        <v>44515</v>
      </c>
      <c r="I531" s="298" t="str">
        <f>VLOOKUP(A531,URS確認!E:I,5,FALSE)</f>
        <v>楊智誠</v>
      </c>
    </row>
    <row r="532" spans="1:9" x14ac:dyDescent="0.3">
      <c r="A532" s="298" t="s">
        <v>938</v>
      </c>
      <c r="B532" s="69" t="str">
        <f>VLOOKUP(A532,URS確認!$E:$F,2,FALSE)</f>
        <v>疑似洗錢交易合理性維護</v>
      </c>
      <c r="C532" s="298">
        <v>5</v>
      </c>
      <c r="D532" s="74" t="s">
        <v>2006</v>
      </c>
      <c r="E532" s="71">
        <v>44498</v>
      </c>
      <c r="F532" s="71">
        <v>44515</v>
      </c>
      <c r="G532" s="71">
        <v>44515</v>
      </c>
      <c r="H532" s="71">
        <v>44515</v>
      </c>
      <c r="I532" s="298" t="str">
        <f>VLOOKUP(A532,URS確認!E:I,5,FALSE)</f>
        <v>楊智誠</v>
      </c>
    </row>
    <row r="533" spans="1:9" x14ac:dyDescent="0.3">
      <c r="A533" s="298" t="s">
        <v>938</v>
      </c>
      <c r="B533" s="69" t="str">
        <f>VLOOKUP(A533,URS確認!$E:$F,2,FALSE)</f>
        <v>疑似洗錢交易合理性維護</v>
      </c>
      <c r="C533" s="298">
        <v>6</v>
      </c>
      <c r="D533" s="74" t="s">
        <v>2007</v>
      </c>
      <c r="E533" s="71">
        <v>44498</v>
      </c>
      <c r="F533" s="71">
        <v>44515</v>
      </c>
      <c r="G533" s="71">
        <v>44515</v>
      </c>
      <c r="H533" s="71">
        <v>44515</v>
      </c>
      <c r="I533" s="298" t="str">
        <f>VLOOKUP(A533,URS確認!E:I,5,FALSE)</f>
        <v>楊智誠</v>
      </c>
    </row>
    <row r="534" spans="1:9" x14ac:dyDescent="0.3">
      <c r="A534" s="298" t="s">
        <v>938</v>
      </c>
      <c r="B534" s="69" t="str">
        <f>VLOOKUP(A534,URS確認!$E:$F,2,FALSE)</f>
        <v>疑似洗錢交易合理性維護</v>
      </c>
      <c r="C534" s="298">
        <v>7</v>
      </c>
      <c r="D534" s="74" t="s">
        <v>2008</v>
      </c>
      <c r="E534" s="71">
        <v>44498</v>
      </c>
      <c r="F534" s="71">
        <v>44515</v>
      </c>
      <c r="G534" s="71">
        <v>44515</v>
      </c>
      <c r="H534" s="71">
        <v>44515</v>
      </c>
      <c r="I534" s="298" t="str">
        <f>VLOOKUP(A534,URS確認!E:I,5,FALSE)</f>
        <v>楊智誠</v>
      </c>
    </row>
    <row r="535" spans="1:9" x14ac:dyDescent="0.3">
      <c r="A535" s="298" t="s">
        <v>943</v>
      </c>
      <c r="B535" s="69" t="str">
        <f>VLOOKUP(A535,URS確認!$E:$F,2,FALSE)</f>
        <v>疑似洗錢交易訪談記錄維護</v>
      </c>
      <c r="C535" s="298">
        <v>1</v>
      </c>
      <c r="D535" s="74" t="s">
        <v>2009</v>
      </c>
      <c r="E535" s="71">
        <v>44498</v>
      </c>
      <c r="F535" s="71">
        <v>44515</v>
      </c>
      <c r="G535" s="71">
        <v>44515</v>
      </c>
      <c r="H535" s="71">
        <v>44515</v>
      </c>
      <c r="I535" s="298" t="str">
        <f>VLOOKUP(A535,URS確認!E:I,5,FALSE)</f>
        <v>楊智誠</v>
      </c>
    </row>
    <row r="536" spans="1:9" x14ac:dyDescent="0.3">
      <c r="A536" s="298" t="s">
        <v>943</v>
      </c>
      <c r="B536" s="69" t="str">
        <f>VLOOKUP(A536,URS確認!$E:$F,2,FALSE)</f>
        <v>疑似洗錢交易訪談記錄維護</v>
      </c>
      <c r="C536" s="298">
        <v>2</v>
      </c>
      <c r="D536" s="74" t="s">
        <v>2010</v>
      </c>
      <c r="E536" s="71">
        <v>44498</v>
      </c>
      <c r="F536" s="71">
        <v>44515</v>
      </c>
      <c r="G536" s="71">
        <v>44515</v>
      </c>
      <c r="H536" s="71">
        <v>44515</v>
      </c>
      <c r="I536" s="298" t="str">
        <f>VLOOKUP(A536,URS確認!E:I,5,FALSE)</f>
        <v>楊智誠</v>
      </c>
    </row>
    <row r="537" spans="1:9" x14ac:dyDescent="0.3">
      <c r="A537" s="298" t="s">
        <v>939</v>
      </c>
      <c r="B537" s="69" t="str">
        <f>VLOOKUP(A537,URS確認!$E:$F,2,FALSE)</f>
        <v>疑似洗錢交易訪談記錄查詢</v>
      </c>
      <c r="C537" s="298">
        <v>1</v>
      </c>
      <c r="D537" s="74" t="s">
        <v>2426</v>
      </c>
      <c r="E537" s="71">
        <v>44498</v>
      </c>
      <c r="F537" s="71">
        <v>44515</v>
      </c>
      <c r="G537" s="71">
        <v>44515</v>
      </c>
      <c r="H537" s="71">
        <v>44515</v>
      </c>
      <c r="I537" s="298" t="str">
        <f>VLOOKUP(A537,URS確認!E:I,5,FALSE)</f>
        <v>楊智誠</v>
      </c>
    </row>
    <row r="538" spans="1:9" x14ac:dyDescent="0.3">
      <c r="A538" s="298" t="s">
        <v>929</v>
      </c>
      <c r="B538" s="69" t="str">
        <f>VLOOKUP(A538,URS確認!$E:$F,2,FALSE)</f>
        <v>疑似洗錢資料變更查詢</v>
      </c>
      <c r="C538" s="298">
        <v>1</v>
      </c>
      <c r="D538" s="74" t="s">
        <v>2011</v>
      </c>
      <c r="E538" s="71">
        <v>44498</v>
      </c>
      <c r="F538" s="71">
        <v>44515</v>
      </c>
      <c r="G538" s="71">
        <v>44515</v>
      </c>
      <c r="H538" s="71">
        <v>44515</v>
      </c>
      <c r="I538" s="298" t="str">
        <f>VLOOKUP(A538,URS確認!E:I,5,FALSE)</f>
        <v>楊智誠</v>
      </c>
    </row>
    <row r="539" spans="1:9" x14ac:dyDescent="0.3">
      <c r="A539" s="298" t="s">
        <v>929</v>
      </c>
      <c r="B539" s="69" t="str">
        <f>VLOOKUP(A539,URS確認!$E:$F,2,FALSE)</f>
        <v>疑似洗錢資料變更查詢</v>
      </c>
      <c r="C539" s="298">
        <v>2</v>
      </c>
      <c r="D539" s="74" t="s">
        <v>2012</v>
      </c>
      <c r="E539" s="71">
        <v>44498</v>
      </c>
      <c r="F539" s="71">
        <v>44515</v>
      </c>
      <c r="G539" s="71">
        <v>44515</v>
      </c>
      <c r="H539" s="71">
        <v>44515</v>
      </c>
      <c r="I539" s="298" t="str">
        <f>VLOOKUP(A539,URS確認!E:I,5,FALSE)</f>
        <v>楊智誠</v>
      </c>
    </row>
    <row r="540" spans="1:9" ht="34" customHeight="1" x14ac:dyDescent="0.3">
      <c r="A540" s="298" t="s">
        <v>951</v>
      </c>
      <c r="B540" s="69" t="str">
        <f>VLOOKUP(A540,URS確認!$E:$F,2,FALSE)</f>
        <v>產生國稅局申報檢核檔</v>
      </c>
      <c r="C540" s="298">
        <v>1</v>
      </c>
      <c r="D540" s="74" t="s">
        <v>2013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8" t="str">
        <f>VLOOKUP(A540,URS確認!E:I,5,FALSE)</f>
        <v>楊智誠</v>
      </c>
    </row>
    <row r="541" spans="1:9" x14ac:dyDescent="0.4">
      <c r="A541" s="298" t="s">
        <v>951</v>
      </c>
      <c r="B541" s="69" t="str">
        <f>VLOOKUP(A541,URS確認!$E:$F,2,FALSE)</f>
        <v>產生國稅局申報檢核檔</v>
      </c>
      <c r="C541" s="298">
        <v>2</v>
      </c>
      <c r="D541" s="68" t="s">
        <v>2014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8" t="str">
        <f>VLOOKUP(A541,URS確認!E:I,5,FALSE)</f>
        <v>楊智誠</v>
      </c>
    </row>
    <row r="542" spans="1:9" x14ac:dyDescent="0.4">
      <c r="A542" s="298" t="s">
        <v>951</v>
      </c>
      <c r="B542" s="69" t="str">
        <f>VLOOKUP(A542,URS確認!$E:$F,2,FALSE)</f>
        <v>產生國稅局申報檢核檔</v>
      </c>
      <c r="C542" s="298">
        <v>3</v>
      </c>
      <c r="D542" s="68" t="s">
        <v>2015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8" t="str">
        <f>VLOOKUP(A542,URS確認!E:I,5,FALSE)</f>
        <v>楊智誠</v>
      </c>
    </row>
    <row r="543" spans="1:9" x14ac:dyDescent="0.4">
      <c r="A543" s="298" t="s">
        <v>947</v>
      </c>
      <c r="B543" s="69" t="str">
        <f>VLOOKUP(A543,URS確認!$E:$F,2,FALSE)</f>
        <v>國稅局申報檔查詢</v>
      </c>
      <c r="C543" s="298">
        <v>1</v>
      </c>
      <c r="D543" s="68" t="s">
        <v>2016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8" t="str">
        <f>VLOOKUP(A543,URS確認!E:I,5,FALSE)</f>
        <v>楊智誠</v>
      </c>
    </row>
    <row r="544" spans="1:9" x14ac:dyDescent="0.4">
      <c r="A544" s="298" t="s">
        <v>949</v>
      </c>
      <c r="B544" s="69" t="str">
        <f>VLOOKUP(A544,URS確認!$E:$F,2,FALSE)</f>
        <v>國稅局申報檔維護</v>
      </c>
      <c r="C544" s="298">
        <v>1</v>
      </c>
      <c r="D544" s="68" t="s">
        <v>2017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8" t="str">
        <f>VLOOKUP(A544,URS確認!E:I,5,FALSE)</f>
        <v>楊智誠</v>
      </c>
    </row>
    <row r="545" spans="1:9" x14ac:dyDescent="0.4">
      <c r="A545" s="298" t="s">
        <v>953</v>
      </c>
      <c r="B545" s="69" t="str">
        <f>VLOOKUP(A545,URS確認!$E:$F,2,FALSE)</f>
        <v>產生國稅局申報媒體檔</v>
      </c>
      <c r="C545" s="298">
        <v>1</v>
      </c>
      <c r="D545" s="68" t="s">
        <v>2018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8" t="str">
        <f>VLOOKUP(A545,URS確認!E:I,5,FALSE)</f>
        <v>楊智誠</v>
      </c>
    </row>
    <row r="546" spans="1:9" x14ac:dyDescent="0.4">
      <c r="A546" s="298" t="s">
        <v>953</v>
      </c>
      <c r="B546" s="69" t="str">
        <f>VLOOKUP(A546,URS確認!$E:$F,2,FALSE)</f>
        <v>產生國稅局申報媒體檔</v>
      </c>
      <c r="C546" s="298">
        <v>2</v>
      </c>
      <c r="D546" s="68" t="s">
        <v>2019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8" t="str">
        <f>VLOOKUP(A546,URS確認!E:I,5,FALSE)</f>
        <v>楊智誠</v>
      </c>
    </row>
    <row r="547" spans="1:9" ht="34" customHeight="1" x14ac:dyDescent="0.3">
      <c r="A547" s="298" t="s">
        <v>919</v>
      </c>
      <c r="B547" s="69" t="str">
        <f>VLOOKUP(A547,URS確認!$E:$F,2,FALSE)</f>
        <v>產製公務人員報送資料</v>
      </c>
      <c r="C547" s="298">
        <v>1</v>
      </c>
      <c r="D547" s="74" t="s">
        <v>2020</v>
      </c>
      <c r="E547" s="71">
        <v>44503</v>
      </c>
      <c r="F547" s="71">
        <v>44531</v>
      </c>
      <c r="G547" s="71">
        <v>44531</v>
      </c>
      <c r="H547" s="71">
        <v>44531</v>
      </c>
      <c r="I547" s="298" t="str">
        <f>VLOOKUP(A547,URS確認!E:I,5,FALSE)</f>
        <v>楊智誠</v>
      </c>
    </row>
    <row r="548" spans="1:9" x14ac:dyDescent="0.3">
      <c r="A548" s="298" t="s">
        <v>919</v>
      </c>
      <c r="B548" s="69" t="str">
        <f>VLOOKUP(A548,URS確認!$E:$F,2,FALSE)</f>
        <v>產製公務人員報送資料</v>
      </c>
      <c r="C548" s="298">
        <v>2</v>
      </c>
      <c r="D548" s="74" t="s">
        <v>2021</v>
      </c>
      <c r="E548" s="71">
        <v>44503</v>
      </c>
      <c r="F548" s="71">
        <v>44531</v>
      </c>
      <c r="G548" s="71">
        <v>44531</v>
      </c>
      <c r="H548" s="71">
        <v>44531</v>
      </c>
      <c r="I548" s="298" t="str">
        <f>VLOOKUP(A548,URS確認!E:I,5,FALSE)</f>
        <v>楊智誠</v>
      </c>
    </row>
    <row r="549" spans="1:9" x14ac:dyDescent="0.3">
      <c r="A549" s="298" t="s">
        <v>959</v>
      </c>
      <c r="B549" s="69" t="str">
        <f>VLOOKUP(A549,URS確認!$E:$F,2,FALSE)</f>
        <v xml:space="preserve">資金運用概況維護                      </v>
      </c>
      <c r="C549" s="298">
        <v>1</v>
      </c>
      <c r="D549" s="74" t="s">
        <v>2022</v>
      </c>
      <c r="E549" s="71">
        <v>44505</v>
      </c>
      <c r="F549" s="71">
        <v>44518</v>
      </c>
      <c r="G549" s="71">
        <v>44518</v>
      </c>
      <c r="H549" s="71">
        <v>44518</v>
      </c>
      <c r="I549" s="298" t="str">
        <f>VLOOKUP(A549,URS確認!E:I,5,FALSE)</f>
        <v>楊智誠</v>
      </c>
    </row>
    <row r="550" spans="1:9" x14ac:dyDescent="0.3">
      <c r="A550" s="298" t="s">
        <v>968</v>
      </c>
      <c r="B550" s="69" t="str">
        <f>VLOOKUP(A550,URS確認!$E:$F,2,FALSE)</f>
        <v xml:space="preserve">檔案借閱明細資料查詢                  </v>
      </c>
      <c r="C550" s="298">
        <v>1</v>
      </c>
      <c r="D550" s="74" t="s">
        <v>2023</v>
      </c>
      <c r="E550" s="71">
        <v>44505</v>
      </c>
      <c r="F550" s="71">
        <v>44518</v>
      </c>
      <c r="G550" s="71">
        <v>44518</v>
      </c>
      <c r="H550" s="71">
        <v>44518</v>
      </c>
      <c r="I550" s="298" t="str">
        <f>VLOOKUP(A550,URS確認!E:I,5,FALSE)</f>
        <v>楊智誠</v>
      </c>
    </row>
    <row r="551" spans="1:9" x14ac:dyDescent="0.3">
      <c r="A551" s="298" t="s">
        <v>968</v>
      </c>
      <c r="B551" s="69" t="str">
        <f>VLOOKUP(A551,URS確認!$E:$F,2,FALSE)</f>
        <v xml:space="preserve">檔案借閱明細資料查詢                  </v>
      </c>
      <c r="C551" s="298">
        <v>2</v>
      </c>
      <c r="D551" s="74" t="s">
        <v>2024</v>
      </c>
      <c r="E551" s="71">
        <v>44505</v>
      </c>
      <c r="F551" s="71">
        <v>44518</v>
      </c>
      <c r="G551" s="71">
        <v>44518</v>
      </c>
      <c r="H551" s="71">
        <v>44518</v>
      </c>
      <c r="I551" s="298" t="str">
        <f>VLOOKUP(A551,URS確認!E:I,5,FALSE)</f>
        <v>楊智誠</v>
      </c>
    </row>
    <row r="552" spans="1:9" x14ac:dyDescent="0.3">
      <c r="A552" s="298" t="s">
        <v>972</v>
      </c>
      <c r="B552" s="69" t="str">
        <f>VLOOKUP(A552,URS確認!$E:$F,2,FALSE)</f>
        <v xml:space="preserve">檔案借閱維護                          </v>
      </c>
      <c r="C552" s="298">
        <v>1</v>
      </c>
      <c r="D552" s="74" t="s">
        <v>2025</v>
      </c>
      <c r="E552" s="71">
        <v>44505</v>
      </c>
      <c r="F552" s="71">
        <v>44518</v>
      </c>
      <c r="G552" s="71">
        <v>44518</v>
      </c>
      <c r="H552" s="71">
        <v>44518</v>
      </c>
      <c r="I552" s="298" t="str">
        <f>VLOOKUP(A552,URS確認!E:I,5,FALSE)</f>
        <v>楊智誠</v>
      </c>
    </row>
    <row r="553" spans="1:9" x14ac:dyDescent="0.3">
      <c r="A553" s="298" t="s">
        <v>972</v>
      </c>
      <c r="B553" s="69" t="str">
        <f>VLOOKUP(A553,URS確認!$E:$F,2,FALSE)</f>
        <v xml:space="preserve">檔案借閱維護                          </v>
      </c>
      <c r="C553" s="298">
        <v>2</v>
      </c>
      <c r="D553" s="74" t="s">
        <v>2026</v>
      </c>
      <c r="E553" s="71">
        <v>44505</v>
      </c>
      <c r="F553" s="71">
        <v>44535</v>
      </c>
      <c r="G553" s="71">
        <v>44540</v>
      </c>
      <c r="H553" s="71">
        <v>44540</v>
      </c>
      <c r="I553" s="298" t="str">
        <f>VLOOKUP(A553,URS確認!E:I,5,FALSE)</f>
        <v>楊智誠</v>
      </c>
    </row>
    <row r="554" spans="1:9" x14ac:dyDescent="0.3">
      <c r="A554" s="298" t="s">
        <v>974</v>
      </c>
      <c r="B554" s="69" t="str">
        <f>VLOOKUP(A554,URS確認!$E:$F,2,FALSE)</f>
        <v xml:space="preserve">檔案借閱報表作業(列印)                </v>
      </c>
      <c r="C554" s="298">
        <v>1</v>
      </c>
      <c r="D554" s="74" t="s">
        <v>2027</v>
      </c>
      <c r="E554" s="71">
        <v>44505</v>
      </c>
      <c r="F554" s="71">
        <v>44518</v>
      </c>
      <c r="G554" s="71">
        <v>44518</v>
      </c>
      <c r="H554" s="71">
        <v>44518</v>
      </c>
      <c r="I554" s="298" t="str">
        <f>VLOOKUP(A554,URS確認!E:I,5,FALSE)</f>
        <v>楊智誠</v>
      </c>
    </row>
    <row r="555" spans="1:9" x14ac:dyDescent="0.3">
      <c r="A555" s="298" t="s">
        <v>974</v>
      </c>
      <c r="B555" s="69" t="str">
        <f>VLOOKUP(A555,URS確認!$E:$F,2,FALSE)</f>
        <v xml:space="preserve">檔案借閱報表作業(列印)                </v>
      </c>
      <c r="C555" s="298">
        <v>2</v>
      </c>
      <c r="D555" s="74" t="s">
        <v>2028</v>
      </c>
      <c r="E555" s="71">
        <v>44505</v>
      </c>
      <c r="F555" s="71">
        <v>44518</v>
      </c>
      <c r="G555" s="71">
        <v>44518</v>
      </c>
      <c r="H555" s="71">
        <v>44518</v>
      </c>
      <c r="I555" s="298" t="str">
        <f>VLOOKUP(A555,URS確認!E:I,5,FALSE)</f>
        <v>楊智誠</v>
      </c>
    </row>
    <row r="556" spans="1:9" x14ac:dyDescent="0.3">
      <c r="A556" s="298" t="s">
        <v>974</v>
      </c>
      <c r="B556" s="69" t="str">
        <f>VLOOKUP(A556,URS確認!$E:$F,2,FALSE)</f>
        <v xml:space="preserve">檔案借閱報表作業(列印)                </v>
      </c>
      <c r="C556" s="298">
        <v>3</v>
      </c>
      <c r="D556" s="74" t="s">
        <v>2029</v>
      </c>
      <c r="E556" s="71">
        <v>44505</v>
      </c>
      <c r="F556" s="71">
        <v>44518</v>
      </c>
      <c r="G556" s="71">
        <v>44518</v>
      </c>
      <c r="H556" s="71">
        <v>44518</v>
      </c>
      <c r="I556" s="298" t="str">
        <f>VLOOKUP(A556,URS確認!E:I,5,FALSE)</f>
        <v>楊智誠</v>
      </c>
    </row>
    <row r="557" spans="1:9" ht="34" customHeight="1" x14ac:dyDescent="0.3">
      <c r="A557" s="298" t="s">
        <v>974</v>
      </c>
      <c r="B557" s="69" t="str">
        <f>VLOOKUP(A557,URS確認!$E:$F,2,FALSE)</f>
        <v xml:space="preserve">檔案借閱報表作業(列印)                </v>
      </c>
      <c r="C557" s="298">
        <v>4</v>
      </c>
      <c r="D557" s="74" t="s">
        <v>2030</v>
      </c>
      <c r="E557" s="71">
        <v>44505</v>
      </c>
      <c r="F557" s="71">
        <v>44518</v>
      </c>
      <c r="G557" s="71">
        <v>44518</v>
      </c>
      <c r="H557" s="71">
        <v>44518</v>
      </c>
      <c r="I557" s="298" t="str">
        <f>VLOOKUP(A557,URS確認!E:I,5,FALSE)</f>
        <v>楊智誠</v>
      </c>
    </row>
    <row r="558" spans="1:9" x14ac:dyDescent="0.3">
      <c r="A558" s="298" t="s">
        <v>974</v>
      </c>
      <c r="B558" s="69" t="str">
        <f>VLOOKUP(A558,URS確認!$E:$F,2,FALSE)</f>
        <v xml:space="preserve">檔案借閱報表作業(列印)                </v>
      </c>
      <c r="C558" s="298">
        <v>5</v>
      </c>
      <c r="D558" s="74" t="s">
        <v>2031</v>
      </c>
      <c r="E558" s="71">
        <v>44505</v>
      </c>
      <c r="F558" s="71">
        <v>44518</v>
      </c>
      <c r="G558" s="71">
        <v>44518</v>
      </c>
      <c r="H558" s="71">
        <v>44518</v>
      </c>
      <c r="I558" s="298" t="str">
        <f>VLOOKUP(A558,URS確認!E:I,5,FALSE)</f>
        <v>楊智誠</v>
      </c>
    </row>
    <row r="559" spans="1:9" x14ac:dyDescent="0.3">
      <c r="A559" s="298" t="s">
        <v>974</v>
      </c>
      <c r="B559" s="69" t="str">
        <f>VLOOKUP(A559,URS確認!$E:$F,2,FALSE)</f>
        <v xml:space="preserve">檔案借閱報表作業(列印)                </v>
      </c>
      <c r="C559" s="298">
        <v>6</v>
      </c>
      <c r="D559" s="74" t="s">
        <v>2032</v>
      </c>
      <c r="E559" s="71">
        <v>44505</v>
      </c>
      <c r="F559" s="71">
        <v>44518</v>
      </c>
      <c r="G559" s="71">
        <v>44518</v>
      </c>
      <c r="H559" s="71">
        <v>44518</v>
      </c>
      <c r="I559" s="298" t="str">
        <f>VLOOKUP(A559,URS確認!E:I,5,FALSE)</f>
        <v>楊智誠</v>
      </c>
    </row>
    <row r="560" spans="1:9" x14ac:dyDescent="0.3">
      <c r="A560" s="298" t="s">
        <v>1382</v>
      </c>
      <c r="B560" s="69" t="s">
        <v>2033</v>
      </c>
      <c r="C560" s="298">
        <v>1</v>
      </c>
      <c r="D560" s="74" t="s">
        <v>2034</v>
      </c>
      <c r="E560" s="71">
        <v>44505</v>
      </c>
      <c r="F560" s="71">
        <v>44533</v>
      </c>
      <c r="G560" s="71">
        <v>44533</v>
      </c>
      <c r="H560" s="71">
        <v>44533</v>
      </c>
      <c r="I560" s="361" t="str">
        <f>VLOOKUP(A560,URS確認!E:I,5,FALSE)</f>
        <v>張金龍</v>
      </c>
    </row>
    <row r="561" spans="1:16" x14ac:dyDescent="0.3">
      <c r="A561" s="298" t="s">
        <v>790</v>
      </c>
      <c r="B561" s="69" t="str">
        <f>VLOOKUP(A561,URS確認!$E:$F,2,FALSE)</f>
        <v>領取清償證明作業</v>
      </c>
      <c r="C561" s="298">
        <v>1</v>
      </c>
      <c r="D561" s="74" t="s">
        <v>2035</v>
      </c>
      <c r="E561" s="71">
        <v>44505</v>
      </c>
      <c r="F561" s="71">
        <v>44533</v>
      </c>
      <c r="G561" s="71">
        <v>44539</v>
      </c>
      <c r="H561" s="71">
        <v>44540</v>
      </c>
      <c r="I561" s="298" t="str">
        <f>VLOOKUP(A561,URS確認!E:I,5,FALSE)</f>
        <v>余家興</v>
      </c>
    </row>
    <row r="562" spans="1:16" x14ac:dyDescent="0.4">
      <c r="A562" s="298" t="s">
        <v>1264</v>
      </c>
      <c r="B562" s="69" t="str">
        <f>VLOOKUP(A562,URS確認!$E:$F,2,FALSE)</f>
        <v>(574)更生款項統一收付結案通知資料</v>
      </c>
      <c r="C562" s="298">
        <v>1</v>
      </c>
      <c r="D562" s="68" t="s">
        <v>2036</v>
      </c>
      <c r="E562" s="71">
        <v>44517</v>
      </c>
      <c r="F562" s="71">
        <v>44540</v>
      </c>
      <c r="G562" s="71">
        <v>44540</v>
      </c>
      <c r="H562" s="71">
        <v>44540</v>
      </c>
      <c r="I562" s="298" t="str">
        <f>VLOOKUP(A562,URS確認!E:I,5,FALSE)</f>
        <v>張嘉榮</v>
      </c>
      <c r="L562" s="298" t="s">
        <v>2409</v>
      </c>
    </row>
    <row r="563" spans="1:16" x14ac:dyDescent="0.3">
      <c r="A563" s="298" t="s">
        <v>2037</v>
      </c>
      <c r="B563" s="69" t="s">
        <v>2038</v>
      </c>
      <c r="C563" s="298">
        <v>1</v>
      </c>
      <c r="D563" s="74" t="s">
        <v>2039</v>
      </c>
      <c r="E563" s="71">
        <v>44517</v>
      </c>
      <c r="F563" s="71">
        <v>44540</v>
      </c>
      <c r="G563" s="71">
        <v>44540</v>
      </c>
      <c r="H563" s="71">
        <v>44540</v>
      </c>
      <c r="I563" s="298" t="s">
        <v>123</v>
      </c>
      <c r="L563" s="298" t="s">
        <v>2409</v>
      </c>
    </row>
    <row r="564" spans="1:16" x14ac:dyDescent="0.3">
      <c r="A564" s="361" t="s">
        <v>2037</v>
      </c>
      <c r="B564" s="69" t="s">
        <v>2038</v>
      </c>
      <c r="C564" s="298">
        <v>2</v>
      </c>
      <c r="D564" s="74" t="s">
        <v>2040</v>
      </c>
      <c r="E564" s="71">
        <v>44517</v>
      </c>
      <c r="F564" s="71">
        <v>44540</v>
      </c>
      <c r="G564" s="71">
        <v>44540</v>
      </c>
      <c r="H564" s="71">
        <v>44540</v>
      </c>
      <c r="I564" s="298" t="s">
        <v>123</v>
      </c>
      <c r="L564" s="298" t="s">
        <v>2409</v>
      </c>
    </row>
    <row r="565" spans="1:16" x14ac:dyDescent="0.3">
      <c r="A565" s="361" t="s">
        <v>2037</v>
      </c>
      <c r="B565" s="69" t="s">
        <v>2038</v>
      </c>
      <c r="C565" s="298">
        <v>3</v>
      </c>
      <c r="D565" s="74" t="s">
        <v>2041</v>
      </c>
      <c r="E565" s="71">
        <v>44517</v>
      </c>
      <c r="F565" s="71">
        <v>44540</v>
      </c>
      <c r="G565" s="71">
        <v>44540</v>
      </c>
      <c r="H565" s="71">
        <v>44540</v>
      </c>
      <c r="I565" s="298" t="s">
        <v>123</v>
      </c>
      <c r="L565" s="298" t="s">
        <v>2409</v>
      </c>
    </row>
    <row r="566" spans="1:16" x14ac:dyDescent="0.3">
      <c r="A566" s="361" t="s">
        <v>2037</v>
      </c>
      <c r="B566" s="69" t="s">
        <v>2038</v>
      </c>
      <c r="C566" s="298">
        <v>4</v>
      </c>
      <c r="D566" s="74" t="s">
        <v>2042</v>
      </c>
      <c r="E566" s="71">
        <v>44517</v>
      </c>
      <c r="F566" s="71">
        <v>44540</v>
      </c>
      <c r="G566" s="71">
        <v>44540</v>
      </c>
      <c r="H566" s="71">
        <v>44540</v>
      </c>
      <c r="I566" s="298" t="s">
        <v>123</v>
      </c>
      <c r="L566" s="298" t="s">
        <v>2409</v>
      </c>
    </row>
    <row r="567" spans="1:16" ht="102" x14ac:dyDescent="0.3">
      <c r="A567" s="298" t="s">
        <v>2428</v>
      </c>
      <c r="B567" s="69" t="s">
        <v>2429</v>
      </c>
      <c r="D567" s="74" t="s">
        <v>2553</v>
      </c>
      <c r="E567" s="71">
        <v>44530</v>
      </c>
      <c r="F567" s="71">
        <v>44540</v>
      </c>
      <c r="G567" s="71">
        <v>44536</v>
      </c>
      <c r="H567" s="71">
        <v>44536</v>
      </c>
      <c r="I567" s="298" t="s">
        <v>2441</v>
      </c>
      <c r="L567" s="298" t="s">
        <v>2409</v>
      </c>
    </row>
    <row r="568" spans="1:16" ht="51" x14ac:dyDescent="0.3">
      <c r="A568" s="399" t="s">
        <v>2550</v>
      </c>
      <c r="B568" s="69" t="s">
        <v>2551</v>
      </c>
      <c r="C568" s="399"/>
      <c r="D568" s="74" t="s">
        <v>2552</v>
      </c>
      <c r="E568" s="71">
        <v>44530</v>
      </c>
      <c r="F568" s="71">
        <v>44540</v>
      </c>
      <c r="G568" s="71">
        <v>44536</v>
      </c>
      <c r="H568" s="71">
        <v>44536</v>
      </c>
      <c r="I568" s="399" t="s">
        <v>2441</v>
      </c>
      <c r="J568" s="399"/>
      <c r="K568" s="399"/>
      <c r="L568" s="399" t="s">
        <v>2409</v>
      </c>
      <c r="M568" s="399"/>
      <c r="N568" s="399"/>
      <c r="O568" s="399"/>
      <c r="P568" s="399"/>
    </row>
    <row r="569" spans="1:16" ht="85" x14ac:dyDescent="0.3">
      <c r="A569" s="298" t="s">
        <v>2431</v>
      </c>
      <c r="B569" s="69" t="s">
        <v>2432</v>
      </c>
      <c r="D569" s="74" t="s">
        <v>2439</v>
      </c>
      <c r="E569" s="71">
        <v>44530</v>
      </c>
      <c r="F569" s="71">
        <v>44540</v>
      </c>
      <c r="G569" s="71">
        <v>44536</v>
      </c>
      <c r="H569" s="71">
        <v>44536</v>
      </c>
      <c r="I569" s="370" t="s">
        <v>2441</v>
      </c>
      <c r="M569" s="298" t="s">
        <v>2444</v>
      </c>
    </row>
    <row r="570" spans="1:16" x14ac:dyDescent="0.3">
      <c r="A570" s="298" t="s">
        <v>2433</v>
      </c>
      <c r="B570" s="69" t="s">
        <v>2434</v>
      </c>
      <c r="D570" s="74" t="s">
        <v>2435</v>
      </c>
      <c r="E570" s="71">
        <v>44530</v>
      </c>
      <c r="F570" s="71">
        <v>44533</v>
      </c>
      <c r="G570" s="71">
        <v>44533</v>
      </c>
      <c r="H570" s="343">
        <v>44533</v>
      </c>
      <c r="I570" s="370" t="s">
        <v>2441</v>
      </c>
      <c r="L570" s="298" t="s">
        <v>2409</v>
      </c>
    </row>
    <row r="571" spans="1:16" x14ac:dyDescent="0.3">
      <c r="A571" s="298" t="s">
        <v>2436</v>
      </c>
      <c r="B571" s="69" t="s">
        <v>2418</v>
      </c>
      <c r="D571" s="74" t="s">
        <v>2437</v>
      </c>
      <c r="E571" s="71">
        <v>44530</v>
      </c>
      <c r="F571" s="71">
        <v>44531</v>
      </c>
      <c r="G571" s="71">
        <v>44531</v>
      </c>
      <c r="H571" s="343">
        <v>44533</v>
      </c>
      <c r="I571" s="370" t="s">
        <v>2441</v>
      </c>
      <c r="L571" s="298" t="s">
        <v>2409</v>
      </c>
    </row>
    <row r="572" spans="1:16" x14ac:dyDescent="0.3">
      <c r="A572" s="298" t="s">
        <v>2440</v>
      </c>
      <c r="B572" s="69" t="s">
        <v>2445</v>
      </c>
      <c r="D572" s="74" t="s">
        <v>2438</v>
      </c>
      <c r="E572" s="71">
        <v>44530</v>
      </c>
      <c r="F572" s="71">
        <v>44530</v>
      </c>
      <c r="G572" s="71">
        <v>44530</v>
      </c>
      <c r="H572" s="343">
        <v>44533</v>
      </c>
      <c r="I572" s="370" t="s">
        <v>2441</v>
      </c>
      <c r="L572" s="298" t="s">
        <v>2409</v>
      </c>
    </row>
    <row r="573" spans="1:16" x14ac:dyDescent="0.3">
      <c r="A573" s="424" t="s">
        <v>2575</v>
      </c>
      <c r="B573" s="69" t="s">
        <v>2576</v>
      </c>
      <c r="C573" s="424"/>
      <c r="D573" s="74" t="s">
        <v>2577</v>
      </c>
      <c r="E573" s="71">
        <v>44530</v>
      </c>
      <c r="F573" s="71">
        <v>44561</v>
      </c>
      <c r="G573" s="71">
        <v>44544</v>
      </c>
      <c r="H573" s="71">
        <v>44544</v>
      </c>
      <c r="I573" s="424" t="s">
        <v>2441</v>
      </c>
      <c r="J573" s="424"/>
      <c r="K573" s="424"/>
      <c r="L573" s="424"/>
      <c r="M573" s="424" t="s">
        <v>2444</v>
      </c>
      <c r="N573" s="424"/>
      <c r="O573" s="424"/>
      <c r="P573" s="424"/>
    </row>
    <row r="574" spans="1:16" x14ac:dyDescent="0.3">
      <c r="A574" s="298" t="s">
        <v>2430</v>
      </c>
      <c r="B574" s="69" t="s">
        <v>2442</v>
      </c>
      <c r="D574" s="74" t="s">
        <v>2443</v>
      </c>
      <c r="E574" s="71">
        <v>44496</v>
      </c>
      <c r="F574" s="71">
        <v>44540</v>
      </c>
      <c r="G574" s="71">
        <v>44538</v>
      </c>
      <c r="H574" s="343">
        <v>44539</v>
      </c>
      <c r="I574" s="370" t="s">
        <v>2441</v>
      </c>
      <c r="L574" s="298" t="s">
        <v>2409</v>
      </c>
    </row>
    <row r="575" spans="1:16" x14ac:dyDescent="0.3">
      <c r="A575" s="371" t="s">
        <v>2446</v>
      </c>
      <c r="B575" s="74" t="s">
        <v>2447</v>
      </c>
      <c r="C575" s="371">
        <v>2</v>
      </c>
      <c r="D575" s="74" t="s">
        <v>2448</v>
      </c>
      <c r="E575" s="71">
        <v>44484</v>
      </c>
      <c r="F575" s="71">
        <v>44554</v>
      </c>
      <c r="H575" s="371"/>
      <c r="I575" s="371" t="s">
        <v>2449</v>
      </c>
      <c r="J575" s="371"/>
      <c r="K575" s="371"/>
      <c r="L575" s="371"/>
      <c r="M575" s="371"/>
      <c r="N575" s="371"/>
      <c r="O575" s="371"/>
      <c r="P575" s="371"/>
    </row>
    <row r="576" spans="1:16" x14ac:dyDescent="0.3">
      <c r="A576" s="371" t="s">
        <v>2450</v>
      </c>
      <c r="B576" s="69" t="s">
        <v>2451</v>
      </c>
      <c r="C576" s="371">
        <v>1</v>
      </c>
      <c r="D576" s="74" t="s">
        <v>2452</v>
      </c>
      <c r="E576" s="71">
        <v>44455</v>
      </c>
      <c r="F576" s="71">
        <v>44554</v>
      </c>
      <c r="G576" s="71">
        <v>44552</v>
      </c>
      <c r="H576" s="71">
        <v>44552</v>
      </c>
      <c r="I576" s="371" t="s">
        <v>2449</v>
      </c>
      <c r="J576" s="371"/>
      <c r="K576" s="371"/>
      <c r="L576" s="371"/>
      <c r="M576" s="371"/>
      <c r="N576" s="371"/>
      <c r="O576" s="371"/>
      <c r="P576" s="371"/>
    </row>
    <row r="577" spans="1:16" ht="34" x14ac:dyDescent="0.3">
      <c r="A577" s="399" t="s">
        <v>2554</v>
      </c>
      <c r="B577" s="69" t="s">
        <v>2555</v>
      </c>
      <c r="C577" s="399"/>
      <c r="D577" s="74" t="s">
        <v>2558</v>
      </c>
      <c r="E577" s="71">
        <v>44525</v>
      </c>
      <c r="F577" s="71">
        <v>44529</v>
      </c>
      <c r="G577" s="71">
        <v>44529</v>
      </c>
      <c r="H577" s="71">
        <v>44529</v>
      </c>
      <c r="I577" s="399" t="s">
        <v>2441</v>
      </c>
      <c r="J577" s="399"/>
      <c r="K577" s="399"/>
      <c r="L577" s="399" t="s">
        <v>2409</v>
      </c>
      <c r="M577" s="399"/>
      <c r="N577" s="399"/>
      <c r="O577" s="399"/>
      <c r="P577" s="399"/>
    </row>
    <row r="578" spans="1:16" ht="51" x14ac:dyDescent="0.3">
      <c r="A578" s="399" t="s">
        <v>2556</v>
      </c>
      <c r="B578" s="69" t="s">
        <v>2557</v>
      </c>
      <c r="C578" s="399"/>
      <c r="D578" s="74" t="s">
        <v>2559</v>
      </c>
      <c r="E578" s="71">
        <v>44525</v>
      </c>
      <c r="F578" s="71">
        <v>44529</v>
      </c>
      <c r="G578" s="71">
        <v>44529</v>
      </c>
      <c r="H578" s="71">
        <v>44529</v>
      </c>
      <c r="I578" s="399" t="s">
        <v>2441</v>
      </c>
      <c r="J578" s="399"/>
      <c r="K578" s="399"/>
      <c r="L578" s="399" t="s">
        <v>2409</v>
      </c>
      <c r="M578" s="399"/>
      <c r="N578" s="399"/>
      <c r="O578" s="399"/>
      <c r="P578" s="399"/>
    </row>
    <row r="579" spans="1:16" s="553" customFormat="1" x14ac:dyDescent="0.4">
      <c r="A579" s="552" t="s">
        <v>795</v>
      </c>
      <c r="B579" s="68" t="s">
        <v>798</v>
      </c>
      <c r="C579" s="552"/>
      <c r="D579" s="554" t="s">
        <v>2727</v>
      </c>
      <c r="E579" s="614">
        <v>44498</v>
      </c>
      <c r="F579" s="555"/>
      <c r="G579" s="555">
        <v>44543</v>
      </c>
      <c r="H579" s="71">
        <f t="shared" ref="H579:H585" si="10">G579</f>
        <v>44543</v>
      </c>
      <c r="I579" s="552" t="str">
        <f>VLOOKUP(A579,URS確認!E:I,5,FALSE)</f>
        <v>余家興</v>
      </c>
      <c r="J579" s="552"/>
      <c r="K579" s="552"/>
      <c r="L579" s="552"/>
      <c r="M579" s="552"/>
      <c r="N579" s="552"/>
      <c r="O579" s="552"/>
      <c r="P579" s="552"/>
    </row>
    <row r="580" spans="1:16" ht="34" x14ac:dyDescent="0.3">
      <c r="A580" s="613" t="s">
        <v>790</v>
      </c>
      <c r="B580" s="69" t="s">
        <v>2726</v>
      </c>
      <c r="C580" s="613"/>
      <c r="D580" s="74" t="s">
        <v>2975</v>
      </c>
      <c r="E580" s="614">
        <v>44498</v>
      </c>
      <c r="G580" s="555">
        <v>44543</v>
      </c>
      <c r="H580" s="71">
        <f t="shared" ref="H580" si="11">G580</f>
        <v>44543</v>
      </c>
      <c r="I580" s="552" t="str">
        <f>VLOOKUP(A580,URS確認!E:I,5,FALSE)</f>
        <v>余家興</v>
      </c>
      <c r="J580" s="613"/>
      <c r="K580" s="613"/>
      <c r="L580" s="613"/>
      <c r="M580" s="613"/>
      <c r="N580" s="613"/>
      <c r="O580" s="613"/>
      <c r="P580" s="613"/>
    </row>
    <row r="581" spans="1:16" ht="68" x14ac:dyDescent="0.3">
      <c r="A581" s="298" t="s">
        <v>790</v>
      </c>
      <c r="B581" s="69" t="s">
        <v>2726</v>
      </c>
      <c r="D581" s="74" t="s">
        <v>2976</v>
      </c>
      <c r="E581" s="614">
        <v>44543</v>
      </c>
      <c r="G581" s="555"/>
      <c r="H581" s="71"/>
      <c r="I581" s="552" t="str">
        <f>VLOOKUP(A581,URS確認!E:I,5,FALSE)</f>
        <v>余家興</v>
      </c>
    </row>
    <row r="582" spans="1:16" x14ac:dyDescent="0.4">
      <c r="A582" s="298" t="s">
        <v>268</v>
      </c>
      <c r="B582" s="69" t="s">
        <v>2730</v>
      </c>
      <c r="C582" s="298">
        <v>1</v>
      </c>
      <c r="D582" s="68" t="s">
        <v>2731</v>
      </c>
      <c r="E582" s="614">
        <v>44498</v>
      </c>
      <c r="G582" s="555">
        <v>44543</v>
      </c>
      <c r="H582" s="71">
        <f t="shared" si="10"/>
        <v>44543</v>
      </c>
      <c r="I582" s="552" t="str">
        <f>VLOOKUP(A582,URS確認!E:I,5,FALSE)</f>
        <v>余家興</v>
      </c>
    </row>
    <row r="583" spans="1:16" x14ac:dyDescent="0.4">
      <c r="A583" s="590" t="s">
        <v>268</v>
      </c>
      <c r="B583" s="69" t="s">
        <v>2730</v>
      </c>
      <c r="C583" s="298">
        <v>2</v>
      </c>
      <c r="D583" s="68" t="s">
        <v>2732</v>
      </c>
      <c r="E583" s="614">
        <v>44498</v>
      </c>
      <c r="G583" s="555">
        <v>44543</v>
      </c>
      <c r="H583" s="71">
        <f t="shared" si="10"/>
        <v>44543</v>
      </c>
      <c r="I583" s="552" t="str">
        <f>VLOOKUP(A583,URS確認!E:I,5,FALSE)</f>
        <v>余家興</v>
      </c>
    </row>
    <row r="584" spans="1:16" x14ac:dyDescent="0.4">
      <c r="A584" s="68" t="s">
        <v>807</v>
      </c>
      <c r="B584" s="68" t="s">
        <v>2733</v>
      </c>
      <c r="D584" s="68" t="s">
        <v>2734</v>
      </c>
      <c r="E584" s="614">
        <v>44498</v>
      </c>
      <c r="G584" s="555">
        <v>44543</v>
      </c>
      <c r="H584" s="71">
        <f t="shared" si="10"/>
        <v>44543</v>
      </c>
      <c r="I584" s="552" t="str">
        <f>VLOOKUP(A584,URS確認!E:I,5,FALSE)</f>
        <v>余家興</v>
      </c>
    </row>
    <row r="585" spans="1:16" x14ac:dyDescent="0.4">
      <c r="A585" s="298" t="s">
        <v>802</v>
      </c>
      <c r="B585" s="68" t="s">
        <v>2736</v>
      </c>
      <c r="D585" s="74" t="s">
        <v>2735</v>
      </c>
      <c r="E585" s="614">
        <v>44498</v>
      </c>
      <c r="G585" s="555">
        <v>44543</v>
      </c>
      <c r="H585" s="71">
        <f t="shared" si="10"/>
        <v>44543</v>
      </c>
      <c r="I585" s="552" t="str">
        <f>VLOOKUP(A585,URS確認!E:I,5,FALSE)</f>
        <v>余家興</v>
      </c>
    </row>
    <row r="586" spans="1:16" x14ac:dyDescent="0.4">
      <c r="A586" s="68" t="s">
        <v>1345</v>
      </c>
      <c r="B586" s="69" t="s">
        <v>2737</v>
      </c>
      <c r="C586" s="298">
        <v>1</v>
      </c>
      <c r="D586" s="68" t="s">
        <v>2738</v>
      </c>
      <c r="E586" s="614">
        <v>44525</v>
      </c>
      <c r="F586" s="71">
        <v>44540</v>
      </c>
      <c r="G586" s="71">
        <v>44540</v>
      </c>
      <c r="H586" s="71">
        <v>44540</v>
      </c>
      <c r="I586" s="552" t="str">
        <f>VLOOKUP(A586,URS確認!E:I,5,FALSE)</f>
        <v>張嘉榮</v>
      </c>
    </row>
    <row r="587" spans="1:16" x14ac:dyDescent="0.4">
      <c r="A587" s="68" t="s">
        <v>1345</v>
      </c>
      <c r="B587" s="69" t="s">
        <v>2737</v>
      </c>
      <c r="C587" s="298">
        <v>2</v>
      </c>
      <c r="D587" s="74" t="s">
        <v>2739</v>
      </c>
      <c r="E587" s="614">
        <v>44525</v>
      </c>
      <c r="F587" s="71">
        <v>44540</v>
      </c>
      <c r="G587" s="71">
        <v>44540</v>
      </c>
      <c r="H587" s="71">
        <v>44540</v>
      </c>
      <c r="I587" s="552" t="str">
        <f>VLOOKUP(A587,URS確認!E:I,5,FALSE)</f>
        <v>張嘉榮</v>
      </c>
    </row>
    <row r="588" spans="1:16" x14ac:dyDescent="0.4">
      <c r="A588" s="68" t="s">
        <v>1345</v>
      </c>
      <c r="B588" s="69" t="s">
        <v>2737</v>
      </c>
      <c r="C588" s="298">
        <v>3</v>
      </c>
      <c r="D588" s="68" t="s">
        <v>2740</v>
      </c>
      <c r="E588" s="614">
        <v>44525</v>
      </c>
      <c r="F588" s="71">
        <v>44540</v>
      </c>
      <c r="G588" s="71">
        <v>44540</v>
      </c>
      <c r="H588" s="71">
        <v>44540</v>
      </c>
      <c r="I588" s="552" t="str">
        <f>VLOOKUP(A588,URS確認!E:I,5,FALSE)</f>
        <v>張嘉榮</v>
      </c>
    </row>
    <row r="589" spans="1:16" x14ac:dyDescent="0.4">
      <c r="A589" s="68" t="s">
        <v>1347</v>
      </c>
      <c r="B589" s="68" t="s">
        <v>1348</v>
      </c>
      <c r="C589" s="298">
        <v>1</v>
      </c>
      <c r="D589" s="68" t="s">
        <v>2741</v>
      </c>
      <c r="E589" s="614">
        <v>44525</v>
      </c>
      <c r="F589" s="71">
        <v>44540</v>
      </c>
      <c r="G589" s="71">
        <v>44540</v>
      </c>
      <c r="H589" s="71">
        <v>44540</v>
      </c>
      <c r="I589" s="552" t="str">
        <f>VLOOKUP(A589,URS確認!E:I,5,FALSE)</f>
        <v>張嘉榮</v>
      </c>
    </row>
    <row r="590" spans="1:16" x14ac:dyDescent="0.4">
      <c r="A590" s="68" t="s">
        <v>1347</v>
      </c>
      <c r="B590" s="68" t="s">
        <v>1348</v>
      </c>
      <c r="C590" s="298">
        <v>2</v>
      </c>
      <c r="D590" s="68" t="s">
        <v>2742</v>
      </c>
      <c r="E590" s="614">
        <v>44525</v>
      </c>
      <c r="F590" s="71">
        <v>44540</v>
      </c>
      <c r="G590" s="71">
        <v>44540</v>
      </c>
      <c r="H590" s="71">
        <v>44540</v>
      </c>
      <c r="I590" s="552" t="str">
        <f>VLOOKUP(A590,URS確認!E:I,5,FALSE)</f>
        <v>張嘉榮</v>
      </c>
    </row>
    <row r="591" spans="1:16" ht="34" x14ac:dyDescent="0.4">
      <c r="A591" s="68" t="s">
        <v>1342</v>
      </c>
      <c r="B591" s="69" t="s">
        <v>2743</v>
      </c>
      <c r="C591" s="298">
        <v>1</v>
      </c>
      <c r="D591" s="74" t="s">
        <v>2745</v>
      </c>
      <c r="E591" s="614">
        <v>44525</v>
      </c>
      <c r="F591" s="71">
        <v>44540</v>
      </c>
      <c r="G591" s="71">
        <v>44540</v>
      </c>
      <c r="H591" s="71">
        <v>44540</v>
      </c>
      <c r="I591" s="552" t="str">
        <f>VLOOKUP(A591,URS確認!E:I,5,FALSE)</f>
        <v>張嘉榮</v>
      </c>
    </row>
    <row r="592" spans="1:16" x14ac:dyDescent="0.4">
      <c r="A592" s="68" t="s">
        <v>1342</v>
      </c>
      <c r="B592" s="69" t="s">
        <v>2743</v>
      </c>
      <c r="C592" s="298">
        <v>2</v>
      </c>
      <c r="D592" s="74" t="s">
        <v>2744</v>
      </c>
      <c r="E592" s="614">
        <v>44525</v>
      </c>
      <c r="F592" s="71">
        <v>44540</v>
      </c>
      <c r="G592" s="71">
        <v>44540</v>
      </c>
      <c r="H592" s="71">
        <v>44540</v>
      </c>
      <c r="I592" s="552" t="str">
        <f>VLOOKUP(A592,URS確認!E:I,5,FALSE)</f>
        <v>張嘉榮</v>
      </c>
    </row>
    <row r="593" spans="1:16" x14ac:dyDescent="0.4">
      <c r="A593" s="68" t="s">
        <v>1349</v>
      </c>
      <c r="B593" s="69" t="s">
        <v>2768</v>
      </c>
      <c r="C593" s="551">
        <v>1</v>
      </c>
      <c r="D593" s="74" t="s">
        <v>2769</v>
      </c>
      <c r="E593" s="614">
        <v>44525</v>
      </c>
      <c r="F593" s="71">
        <v>44529</v>
      </c>
      <c r="G593" s="71">
        <v>44544</v>
      </c>
      <c r="H593" s="71">
        <v>44544</v>
      </c>
      <c r="I593" s="552" t="str">
        <f>VLOOKUP(A593,URS確認!E:I,5,FALSE)</f>
        <v>蘇曉玲</v>
      </c>
      <c r="J593" s="551"/>
      <c r="K593" s="551"/>
      <c r="L593" s="551"/>
      <c r="M593" s="551"/>
      <c r="N593" s="551"/>
      <c r="O593" s="551"/>
      <c r="P593" s="551"/>
    </row>
    <row r="594" spans="1:16" x14ac:dyDescent="0.4">
      <c r="A594" s="68" t="s">
        <v>945</v>
      </c>
      <c r="B594" s="68" t="s">
        <v>946</v>
      </c>
      <c r="C594" s="298">
        <v>1</v>
      </c>
      <c r="D594" s="556" t="s">
        <v>2746</v>
      </c>
      <c r="E594" s="614">
        <v>44524</v>
      </c>
      <c r="F594" s="557">
        <v>44524</v>
      </c>
      <c r="G594" s="557">
        <v>44524</v>
      </c>
      <c r="H594" s="557">
        <v>44524</v>
      </c>
      <c r="I594" s="552" t="str">
        <f>VLOOKUP(A594,URS確認!E:I,5,FALSE)</f>
        <v>陳昱衡</v>
      </c>
      <c r="J594" s="551"/>
      <c r="K594" s="551"/>
      <c r="L594" s="551"/>
      <c r="M594" s="551"/>
      <c r="N594" s="551"/>
      <c r="O594" s="551"/>
      <c r="P594" s="551"/>
    </row>
    <row r="595" spans="1:16" x14ac:dyDescent="0.4">
      <c r="A595" s="68" t="s">
        <v>945</v>
      </c>
      <c r="B595" s="68" t="s">
        <v>946</v>
      </c>
      <c r="C595" s="298">
        <v>2</v>
      </c>
      <c r="D595" s="556" t="s">
        <v>2747</v>
      </c>
      <c r="E595" s="614">
        <v>44524</v>
      </c>
      <c r="F595" s="557">
        <v>44524</v>
      </c>
      <c r="G595" s="557">
        <v>44524</v>
      </c>
      <c r="H595" s="557">
        <v>44524</v>
      </c>
      <c r="I595" s="552" t="str">
        <f>VLOOKUP(A595,URS確認!E:I,5,FALSE)</f>
        <v>陳昱衡</v>
      </c>
      <c r="J595" s="551"/>
      <c r="K595" s="551"/>
      <c r="L595" s="551"/>
      <c r="M595" s="551"/>
      <c r="N595" s="551"/>
      <c r="O595" s="551"/>
      <c r="P595" s="551"/>
    </row>
    <row r="596" spans="1:16" x14ac:dyDescent="0.4">
      <c r="A596" s="68" t="s">
        <v>699</v>
      </c>
      <c r="B596" s="69" t="s">
        <v>2748</v>
      </c>
      <c r="C596" s="298">
        <v>1</v>
      </c>
      <c r="D596" s="74" t="s">
        <v>2749</v>
      </c>
      <c r="E596" s="614">
        <v>44524</v>
      </c>
      <c r="G596" s="555">
        <v>44543</v>
      </c>
      <c r="H596" s="71">
        <f>G596</f>
        <v>44543</v>
      </c>
      <c r="I596" s="552" t="str">
        <f>VLOOKUP(A596,URS確認!E:I,5,FALSE)</f>
        <v>余家興</v>
      </c>
      <c r="J596" s="551"/>
      <c r="K596" s="551"/>
      <c r="L596" s="551"/>
      <c r="M596" s="551"/>
      <c r="N596" s="551"/>
      <c r="O596" s="551"/>
      <c r="P596" s="551"/>
    </row>
    <row r="597" spans="1:16" x14ac:dyDescent="0.4">
      <c r="A597" s="68" t="s">
        <v>1430</v>
      </c>
      <c r="B597" s="68" t="s">
        <v>2358</v>
      </c>
      <c r="C597" s="298">
        <v>1</v>
      </c>
      <c r="D597" s="68" t="s">
        <v>2752</v>
      </c>
      <c r="E597" s="614">
        <v>44518</v>
      </c>
      <c r="F597" s="71">
        <v>44547</v>
      </c>
      <c r="G597" s="71">
        <v>44547</v>
      </c>
      <c r="H597" s="71">
        <v>44547</v>
      </c>
      <c r="I597" s="552" t="s">
        <v>2893</v>
      </c>
    </row>
    <row r="598" spans="1:16" x14ac:dyDescent="0.4">
      <c r="A598" s="68" t="s">
        <v>1051</v>
      </c>
      <c r="B598" s="68" t="s">
        <v>1052</v>
      </c>
      <c r="C598" s="298">
        <v>1</v>
      </c>
      <c r="D598" s="74" t="s">
        <v>2755</v>
      </c>
      <c r="E598" s="614">
        <v>44518</v>
      </c>
      <c r="F598" s="71">
        <v>44547</v>
      </c>
      <c r="G598" s="71">
        <v>44547</v>
      </c>
      <c r="H598" s="71">
        <v>44547</v>
      </c>
      <c r="I598" s="552" t="str">
        <f>VLOOKUP(A598,URS確認!E:I,5,FALSE)</f>
        <v>張金龍</v>
      </c>
    </row>
    <row r="599" spans="1:16" x14ac:dyDescent="0.4">
      <c r="A599" s="68" t="s">
        <v>1053</v>
      </c>
      <c r="B599" s="69" t="s">
        <v>2753</v>
      </c>
      <c r="C599" s="298">
        <v>1</v>
      </c>
      <c r="D599" s="68" t="s">
        <v>2754</v>
      </c>
      <c r="E599" s="614">
        <v>44518</v>
      </c>
      <c r="F599" s="71">
        <v>44547</v>
      </c>
      <c r="G599" s="71">
        <v>44547</v>
      </c>
      <c r="H599" s="71">
        <v>44547</v>
      </c>
      <c r="I599" s="552" t="str">
        <f>VLOOKUP(A599,URS確認!E:I,5,FALSE)</f>
        <v>張金龍</v>
      </c>
    </row>
    <row r="600" spans="1:16" x14ac:dyDescent="0.4">
      <c r="A600" s="68" t="s">
        <v>1053</v>
      </c>
      <c r="B600" s="69" t="s">
        <v>2753</v>
      </c>
      <c r="C600" s="298">
        <v>2</v>
      </c>
      <c r="D600" s="68" t="s">
        <v>2756</v>
      </c>
      <c r="E600" s="614">
        <v>44518</v>
      </c>
      <c r="F600" s="71">
        <v>44547</v>
      </c>
      <c r="G600" s="71">
        <v>44547</v>
      </c>
      <c r="H600" s="71">
        <v>44547</v>
      </c>
      <c r="I600" s="552" t="str">
        <f>VLOOKUP(A600,URS確認!E:I,5,FALSE)</f>
        <v>張金龍</v>
      </c>
    </row>
    <row r="601" spans="1:16" x14ac:dyDescent="0.4">
      <c r="A601" s="68" t="s">
        <v>1527</v>
      </c>
      <c r="B601" s="68" t="s">
        <v>1528</v>
      </c>
      <c r="C601" s="298">
        <v>1</v>
      </c>
      <c r="D601" s="68" t="s">
        <v>2757</v>
      </c>
      <c r="E601" s="614">
        <v>44518</v>
      </c>
      <c r="F601" s="71">
        <v>44547</v>
      </c>
      <c r="G601" s="71">
        <v>44547</v>
      </c>
      <c r="H601" s="71">
        <v>44547</v>
      </c>
      <c r="I601" s="593" t="s">
        <v>2894</v>
      </c>
    </row>
    <row r="602" spans="1:16" ht="34" x14ac:dyDescent="0.4">
      <c r="A602" s="68" t="s">
        <v>1527</v>
      </c>
      <c r="B602" s="68" t="s">
        <v>1528</v>
      </c>
      <c r="C602" s="298">
        <v>2</v>
      </c>
      <c r="D602" s="74" t="s">
        <v>2759</v>
      </c>
      <c r="E602" s="614">
        <v>44518</v>
      </c>
      <c r="F602" s="71">
        <v>44547</v>
      </c>
      <c r="G602" s="71">
        <v>44547</v>
      </c>
      <c r="H602" s="71">
        <v>44547</v>
      </c>
      <c r="I602" s="594" t="s">
        <v>2894</v>
      </c>
    </row>
    <row r="603" spans="1:16" x14ac:dyDescent="0.4">
      <c r="A603" s="68" t="s">
        <v>1527</v>
      </c>
      <c r="B603" s="68" t="s">
        <v>1528</v>
      </c>
      <c r="C603" s="298">
        <v>3</v>
      </c>
      <c r="D603" s="68" t="s">
        <v>2758</v>
      </c>
      <c r="E603" s="614">
        <v>44518</v>
      </c>
      <c r="F603" s="71">
        <v>44547</v>
      </c>
      <c r="G603" s="71">
        <v>44547</v>
      </c>
      <c r="H603" s="71">
        <v>44547</v>
      </c>
      <c r="I603" s="595" t="s">
        <v>2894</v>
      </c>
    </row>
    <row r="604" spans="1:16" x14ac:dyDescent="0.4">
      <c r="A604" s="68" t="s">
        <v>1433</v>
      </c>
      <c r="B604" s="68" t="s">
        <v>2359</v>
      </c>
      <c r="C604" s="298">
        <v>1</v>
      </c>
      <c r="D604" s="74" t="s">
        <v>2760</v>
      </c>
      <c r="E604" s="614">
        <v>44518</v>
      </c>
      <c r="F604" s="71">
        <v>44547</v>
      </c>
      <c r="G604" s="71">
        <v>44547</v>
      </c>
      <c r="H604" s="71">
        <v>44547</v>
      </c>
      <c r="I604" s="552" t="s">
        <v>2893</v>
      </c>
    </row>
    <row r="605" spans="1:16" x14ac:dyDescent="0.4">
      <c r="A605" s="68" t="s">
        <v>1058</v>
      </c>
      <c r="B605" s="69" t="s">
        <v>2762</v>
      </c>
      <c r="C605" s="298">
        <v>1</v>
      </c>
      <c r="D605" s="68" t="s">
        <v>2761</v>
      </c>
      <c r="E605" s="614">
        <v>44518</v>
      </c>
      <c r="F605" s="71">
        <v>44547</v>
      </c>
      <c r="G605" s="71">
        <v>44547</v>
      </c>
      <c r="H605" s="71">
        <v>44547</v>
      </c>
      <c r="I605" s="552" t="str">
        <f>VLOOKUP(A605,URS確認!E:I,5,FALSE)</f>
        <v>張金龍</v>
      </c>
    </row>
    <row r="606" spans="1:16" x14ac:dyDescent="0.4">
      <c r="A606" s="68" t="s">
        <v>1060</v>
      </c>
      <c r="B606" s="68" t="s">
        <v>2763</v>
      </c>
      <c r="C606" s="298">
        <v>1</v>
      </c>
      <c r="D606" s="68" t="s">
        <v>2764</v>
      </c>
      <c r="E606" s="614">
        <v>44518</v>
      </c>
      <c r="F606" s="71">
        <v>44547</v>
      </c>
      <c r="G606" s="71">
        <v>44547</v>
      </c>
      <c r="H606" s="71">
        <v>44547</v>
      </c>
      <c r="I606" s="552" t="str">
        <f>VLOOKUP(A606,URS確認!E:I,5,FALSE)</f>
        <v>張金龍</v>
      </c>
    </row>
    <row r="607" spans="1:16" x14ac:dyDescent="0.4">
      <c r="A607" s="68" t="s">
        <v>1531</v>
      </c>
      <c r="B607" s="68" t="s">
        <v>1532</v>
      </c>
      <c r="C607" s="298">
        <v>1</v>
      </c>
      <c r="D607" s="68" t="s">
        <v>2765</v>
      </c>
      <c r="E607" s="614">
        <v>44518</v>
      </c>
      <c r="F607" s="71">
        <v>44547</v>
      </c>
      <c r="G607" s="71">
        <v>44547</v>
      </c>
      <c r="H607" s="71">
        <v>44547</v>
      </c>
      <c r="I607" s="596" t="s">
        <v>2894</v>
      </c>
    </row>
    <row r="608" spans="1:16" x14ac:dyDescent="0.4">
      <c r="A608" s="68" t="s">
        <v>1531</v>
      </c>
      <c r="B608" s="68" t="s">
        <v>1532</v>
      </c>
      <c r="C608" s="298">
        <v>2</v>
      </c>
      <c r="D608" s="68" t="s">
        <v>2766</v>
      </c>
      <c r="E608" s="614">
        <v>44518</v>
      </c>
      <c r="F608" s="71">
        <v>44547</v>
      </c>
      <c r="G608" s="71">
        <v>44547</v>
      </c>
      <c r="H608" s="71">
        <v>44547</v>
      </c>
      <c r="I608" s="592" t="s">
        <v>2894</v>
      </c>
    </row>
    <row r="609" spans="1:9" x14ac:dyDescent="0.4">
      <c r="A609" s="68" t="s">
        <v>1393</v>
      </c>
      <c r="B609" s="69"/>
      <c r="C609" s="298">
        <v>1</v>
      </c>
      <c r="D609" s="74" t="s">
        <v>2772</v>
      </c>
      <c r="E609" s="614">
        <v>44533</v>
      </c>
      <c r="F609" s="71">
        <v>44547</v>
      </c>
      <c r="G609" s="71">
        <v>44547</v>
      </c>
      <c r="H609" s="71">
        <v>44547</v>
      </c>
      <c r="I609" s="552" t="str">
        <f>VLOOKUP(A609,URS確認!E:I,5,FALSE)</f>
        <v>張金龍</v>
      </c>
    </row>
    <row r="610" spans="1:9" x14ac:dyDescent="0.4">
      <c r="A610" s="68" t="s">
        <v>1395</v>
      </c>
      <c r="B610" s="68" t="s">
        <v>1396</v>
      </c>
      <c r="C610" s="298">
        <v>1</v>
      </c>
      <c r="D610" s="74" t="s">
        <v>2773</v>
      </c>
      <c r="E610" s="614">
        <v>44533</v>
      </c>
      <c r="F610" s="71">
        <v>44547</v>
      </c>
      <c r="G610" s="71">
        <v>44547</v>
      </c>
      <c r="H610" s="71">
        <v>44547</v>
      </c>
      <c r="I610" s="552" t="s">
        <v>2893</v>
      </c>
    </row>
    <row r="611" spans="1:9" ht="58.25" customHeight="1" x14ac:dyDescent="0.3">
      <c r="A611" s="578" t="s">
        <v>1107</v>
      </c>
      <c r="B611" s="69" t="s">
        <v>2834</v>
      </c>
      <c r="C611" s="298">
        <v>1</v>
      </c>
      <c r="D611" s="74" t="s">
        <v>2847</v>
      </c>
      <c r="E611" s="579">
        <v>44529</v>
      </c>
      <c r="F611" s="71">
        <v>44546</v>
      </c>
      <c r="G611" s="71">
        <v>44546</v>
      </c>
      <c r="H611" s="71">
        <v>44546</v>
      </c>
      <c r="I611" s="552" t="str">
        <f>VLOOKUP(A611,URS確認!E:I,5,FALSE)</f>
        <v>楊智誠</v>
      </c>
    </row>
    <row r="612" spans="1:9" ht="18" customHeight="1" x14ac:dyDescent="0.3">
      <c r="A612" s="578" t="s">
        <v>1107</v>
      </c>
      <c r="B612" s="69" t="s">
        <v>2834</v>
      </c>
      <c r="C612" s="298">
        <v>2</v>
      </c>
      <c r="D612" s="74" t="s">
        <v>2840</v>
      </c>
      <c r="E612" s="579">
        <v>44529</v>
      </c>
      <c r="F612" s="71">
        <v>44546</v>
      </c>
      <c r="G612" s="71">
        <v>44546</v>
      </c>
      <c r="H612" s="71">
        <v>44546</v>
      </c>
      <c r="I612" s="552" t="str">
        <f>VLOOKUP(A612,URS確認!E:I,5,FALSE)</f>
        <v>楊智誠</v>
      </c>
    </row>
    <row r="613" spans="1:9" x14ac:dyDescent="0.3">
      <c r="A613" s="578" t="s">
        <v>1109</v>
      </c>
      <c r="B613" s="69" t="s">
        <v>2837</v>
      </c>
      <c r="C613" s="298">
        <v>1</v>
      </c>
      <c r="D613" s="74" t="s">
        <v>2838</v>
      </c>
      <c r="E613" s="579">
        <v>44529</v>
      </c>
      <c r="F613" s="71">
        <v>44546</v>
      </c>
      <c r="G613" s="71">
        <v>44546</v>
      </c>
      <c r="H613" s="71">
        <v>44546</v>
      </c>
      <c r="I613" s="552" t="str">
        <f>VLOOKUP(A613,URS確認!E:I,5,FALSE)</f>
        <v>楊智誠</v>
      </c>
    </row>
    <row r="614" spans="1:9" x14ac:dyDescent="0.3">
      <c r="A614" s="578" t="s">
        <v>1109</v>
      </c>
      <c r="B614" s="69" t="s">
        <v>2837</v>
      </c>
      <c r="C614" s="298">
        <v>2</v>
      </c>
      <c r="D614" s="74" t="s">
        <v>2839</v>
      </c>
      <c r="E614" s="579">
        <v>44529</v>
      </c>
      <c r="F614" s="71">
        <v>44546</v>
      </c>
      <c r="G614" s="71">
        <v>44546</v>
      </c>
      <c r="H614" s="71">
        <v>44546</v>
      </c>
      <c r="I614" s="552" t="str">
        <f>VLOOKUP(A614,URS確認!E:I,5,FALSE)</f>
        <v>楊智誠</v>
      </c>
    </row>
    <row r="615" spans="1:9" x14ac:dyDescent="0.3">
      <c r="A615" s="578" t="s">
        <v>1109</v>
      </c>
      <c r="B615" s="69" t="s">
        <v>2837</v>
      </c>
      <c r="C615" s="298">
        <v>3</v>
      </c>
      <c r="D615" s="74" t="s">
        <v>2841</v>
      </c>
      <c r="E615" s="579">
        <v>44529</v>
      </c>
      <c r="F615" s="71">
        <v>44546</v>
      </c>
      <c r="G615" s="71">
        <v>44546</v>
      </c>
      <c r="H615" s="71">
        <v>44546</v>
      </c>
      <c r="I615" s="552" t="str">
        <f>VLOOKUP(A615,URS確認!E:I,5,FALSE)</f>
        <v>楊智誠</v>
      </c>
    </row>
    <row r="616" spans="1:9" x14ac:dyDescent="0.4">
      <c r="A616" s="68" t="s">
        <v>1094</v>
      </c>
      <c r="B616" s="69" t="s">
        <v>2842</v>
      </c>
      <c r="C616" s="298">
        <v>1</v>
      </c>
      <c r="D616" s="74" t="s">
        <v>2846</v>
      </c>
      <c r="E616" s="579">
        <v>44529</v>
      </c>
      <c r="F616" s="71">
        <v>44546</v>
      </c>
      <c r="G616" s="71">
        <v>44546</v>
      </c>
      <c r="H616" s="71">
        <v>44546</v>
      </c>
      <c r="I616" s="552" t="str">
        <f>VLOOKUP(A616,URS確認!E:I,5,FALSE)</f>
        <v>楊智誠</v>
      </c>
    </row>
    <row r="617" spans="1:9" ht="51" x14ac:dyDescent="0.4">
      <c r="A617" s="68" t="s">
        <v>1113</v>
      </c>
      <c r="B617" s="69" t="s">
        <v>2844</v>
      </c>
      <c r="C617" s="298">
        <v>1</v>
      </c>
      <c r="D617" s="74" t="s">
        <v>2845</v>
      </c>
      <c r="E617" s="579">
        <v>44529</v>
      </c>
      <c r="F617" s="71">
        <v>44546</v>
      </c>
      <c r="G617" s="71">
        <v>44546</v>
      </c>
      <c r="H617" s="71">
        <v>44546</v>
      </c>
      <c r="I617" s="552" t="str">
        <f>VLOOKUP(A617,URS確認!E:I,5,FALSE)</f>
        <v>楊智誠</v>
      </c>
    </row>
    <row r="618" spans="1:9" ht="34" x14ac:dyDescent="0.4">
      <c r="A618" s="68" t="s">
        <v>1115</v>
      </c>
      <c r="B618" s="69" t="s">
        <v>2848</v>
      </c>
      <c r="C618" s="298">
        <v>1</v>
      </c>
      <c r="D618" s="74" t="s">
        <v>2849</v>
      </c>
      <c r="E618" s="579">
        <v>44529</v>
      </c>
      <c r="F618" s="71">
        <v>44532</v>
      </c>
      <c r="G618" s="71">
        <v>44532</v>
      </c>
      <c r="H618" s="71">
        <v>44532</v>
      </c>
      <c r="I618" s="552" t="str">
        <f>VLOOKUP(A618,URS確認!E:I,5,FALSE)</f>
        <v>楊智誠</v>
      </c>
    </row>
    <row r="619" spans="1:9" x14ac:dyDescent="0.3">
      <c r="A619" s="580" t="s">
        <v>1098</v>
      </c>
      <c r="B619" s="69" t="s">
        <v>2850</v>
      </c>
      <c r="C619" s="298">
        <v>1</v>
      </c>
      <c r="D619" s="74" t="s">
        <v>2851</v>
      </c>
      <c r="E619" s="579">
        <v>44529</v>
      </c>
      <c r="F619" s="71">
        <v>44532</v>
      </c>
      <c r="G619" s="71">
        <v>44532</v>
      </c>
      <c r="H619" s="71">
        <v>44532</v>
      </c>
      <c r="I619" s="552" t="str">
        <f>VLOOKUP(A619,URS確認!E:I,5,FALSE)</f>
        <v>楊智誠</v>
      </c>
    </row>
    <row r="620" spans="1:9" x14ac:dyDescent="0.3">
      <c r="A620" s="580" t="s">
        <v>1098</v>
      </c>
      <c r="B620" s="74" t="s">
        <v>2850</v>
      </c>
      <c r="C620" s="298">
        <v>2</v>
      </c>
      <c r="D620" s="74" t="s">
        <v>2852</v>
      </c>
      <c r="E620" s="579">
        <v>44529</v>
      </c>
      <c r="F620" s="71">
        <v>44592</v>
      </c>
      <c r="G620" s="71">
        <v>44557</v>
      </c>
      <c r="H620" s="71">
        <v>44557</v>
      </c>
      <c r="I620" s="552" t="str">
        <f>VLOOKUP(A620,URS確認!E:I,5,FALSE)</f>
        <v>楊智誠</v>
      </c>
    </row>
    <row r="621" spans="1:9" x14ac:dyDescent="0.4">
      <c r="A621" s="68" t="s">
        <v>2885</v>
      </c>
      <c r="B621" s="69" t="s">
        <v>2853</v>
      </c>
      <c r="C621" s="298">
        <v>1</v>
      </c>
      <c r="D621" s="74" t="s">
        <v>2856</v>
      </c>
      <c r="E621" s="579">
        <v>44529</v>
      </c>
      <c r="F621" s="71">
        <v>44532</v>
      </c>
      <c r="G621" s="71">
        <v>44532</v>
      </c>
      <c r="H621" s="71">
        <v>44532</v>
      </c>
      <c r="I621" s="552" t="str">
        <f>VLOOKUP(A621,URS確認!E:I,5,FALSE)</f>
        <v>楊智誠</v>
      </c>
    </row>
    <row r="622" spans="1:9" x14ac:dyDescent="0.4">
      <c r="A622" s="68" t="s">
        <v>2885</v>
      </c>
      <c r="B622" s="69" t="s">
        <v>2853</v>
      </c>
      <c r="C622" s="298">
        <v>2</v>
      </c>
      <c r="D622" s="74" t="s">
        <v>2857</v>
      </c>
      <c r="E622" s="579">
        <v>44529</v>
      </c>
      <c r="F622" s="71">
        <v>44532</v>
      </c>
      <c r="G622" s="71">
        <v>44532</v>
      </c>
      <c r="H622" s="71">
        <v>44532</v>
      </c>
      <c r="I622" s="552" t="str">
        <f>VLOOKUP(A622,URS確認!E:I,5,FALSE)</f>
        <v>楊智誠</v>
      </c>
    </row>
    <row r="623" spans="1:9" x14ac:dyDescent="0.3">
      <c r="A623" s="298" t="s">
        <v>1100</v>
      </c>
      <c r="B623" s="69" t="s">
        <v>2854</v>
      </c>
      <c r="C623" s="298">
        <v>1</v>
      </c>
      <c r="D623" s="74" t="s">
        <v>2858</v>
      </c>
      <c r="E623" s="579">
        <v>44529</v>
      </c>
      <c r="F623" s="71">
        <v>44546</v>
      </c>
      <c r="G623" s="71">
        <v>44546</v>
      </c>
      <c r="H623" s="71">
        <v>44546</v>
      </c>
      <c r="I623" s="552" t="str">
        <f>VLOOKUP(A623,URS確認!E:I,5,FALSE)</f>
        <v>楊智誠</v>
      </c>
    </row>
    <row r="624" spans="1:9" x14ac:dyDescent="0.3">
      <c r="A624" s="298" t="s">
        <v>1111</v>
      </c>
      <c r="B624" s="69" t="s">
        <v>2855</v>
      </c>
      <c r="C624" s="298">
        <v>1</v>
      </c>
      <c r="D624" s="74" t="s">
        <v>2859</v>
      </c>
      <c r="E624" s="579">
        <v>44529</v>
      </c>
      <c r="F624" s="71">
        <v>44546</v>
      </c>
      <c r="G624" s="71">
        <v>44546</v>
      </c>
      <c r="H624" s="71">
        <v>44546</v>
      </c>
      <c r="I624" s="552" t="str">
        <f>VLOOKUP(A624,URS確認!E:I,5,FALSE)</f>
        <v>楊智誠</v>
      </c>
    </row>
    <row r="625" spans="1:9" x14ac:dyDescent="0.3">
      <c r="A625" s="580" t="s">
        <v>1111</v>
      </c>
      <c r="B625" s="69" t="s">
        <v>2855</v>
      </c>
      <c r="C625" s="298">
        <v>2</v>
      </c>
      <c r="D625" s="74" t="s">
        <v>2860</v>
      </c>
      <c r="E625" s="579">
        <v>44529</v>
      </c>
      <c r="F625" s="71">
        <v>44546</v>
      </c>
      <c r="G625" s="71">
        <v>44546</v>
      </c>
      <c r="H625" s="71">
        <v>44546</v>
      </c>
      <c r="I625" s="552" t="str">
        <f>VLOOKUP(A625,URS確認!E:I,5,FALSE)</f>
        <v>楊智誠</v>
      </c>
    </row>
    <row r="626" spans="1:9" x14ac:dyDescent="0.3">
      <c r="A626" s="580" t="s">
        <v>1111</v>
      </c>
      <c r="B626" s="69" t="s">
        <v>2855</v>
      </c>
      <c r="C626" s="298">
        <v>3</v>
      </c>
      <c r="D626" s="74" t="s">
        <v>2861</v>
      </c>
      <c r="E626" s="579">
        <v>44529</v>
      </c>
      <c r="F626" s="71">
        <v>44546</v>
      </c>
      <c r="G626" s="71">
        <v>44546</v>
      </c>
      <c r="H626" s="71">
        <v>44546</v>
      </c>
      <c r="I626" s="552" t="str">
        <f>VLOOKUP(A626,URS確認!E:I,5,FALSE)</f>
        <v>楊智誠</v>
      </c>
    </row>
    <row r="627" spans="1:9" x14ac:dyDescent="0.4">
      <c r="A627" s="68" t="s">
        <v>2884</v>
      </c>
      <c r="B627" s="68" t="s">
        <v>917</v>
      </c>
      <c r="C627" s="298">
        <v>1</v>
      </c>
      <c r="D627" s="74" t="s">
        <v>2866</v>
      </c>
      <c r="E627" s="71">
        <v>44526</v>
      </c>
      <c r="F627" s="71">
        <v>44547</v>
      </c>
      <c r="G627" s="71">
        <v>44547</v>
      </c>
      <c r="H627" s="71">
        <v>44547</v>
      </c>
      <c r="I627" s="552" t="str">
        <f>VLOOKUP(A627,URS確認!E:I,5,FALSE)</f>
        <v>張金龍</v>
      </c>
    </row>
    <row r="628" spans="1:9" x14ac:dyDescent="0.3">
      <c r="A628" s="298" t="s">
        <v>2886</v>
      </c>
      <c r="B628" s="69" t="s">
        <v>2867</v>
      </c>
      <c r="C628" s="298">
        <v>1</v>
      </c>
      <c r="D628" s="74" t="s">
        <v>2868</v>
      </c>
      <c r="E628" s="71">
        <v>44526</v>
      </c>
      <c r="F628" s="71">
        <v>44547</v>
      </c>
      <c r="G628" s="71">
        <v>44547</v>
      </c>
      <c r="H628" s="71">
        <v>44547</v>
      </c>
      <c r="I628" s="552" t="str">
        <f>VLOOKUP(A628,URS確認!E:I,5,FALSE)</f>
        <v>張金龍</v>
      </c>
    </row>
  </sheetData>
  <autoFilter ref="A1:P628" xr:uid="{00000000-0009-0000-0000-00000D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3"/>
  <sheetViews>
    <sheetView zoomScale="85" zoomScaleNormal="85" workbookViewId="0">
      <pane ySplit="1" topLeftCell="A61" activePane="bottomLeft" state="frozen"/>
      <selection pane="bottomLeft" activeCell="H44" sqref="H4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1465</v>
      </c>
      <c r="B1" s="603" t="s">
        <v>2132</v>
      </c>
      <c r="C1" s="119" t="s">
        <v>2133</v>
      </c>
      <c r="D1" s="119" t="s">
        <v>1468</v>
      </c>
      <c r="E1" s="119" t="s">
        <v>2901</v>
      </c>
      <c r="F1" s="119" t="s">
        <v>2900</v>
      </c>
      <c r="G1" s="121" t="s">
        <v>2134</v>
      </c>
      <c r="H1" s="119" t="s">
        <v>2135</v>
      </c>
      <c r="I1" s="121" t="s">
        <v>2136</v>
      </c>
      <c r="J1" s="121" t="s">
        <v>2137</v>
      </c>
    </row>
    <row r="2" spans="1:10" s="98" customFormat="1" ht="33" customHeight="1" x14ac:dyDescent="0.3">
      <c r="A2" s="81">
        <v>44399</v>
      </c>
      <c r="B2" s="89">
        <v>1</v>
      </c>
      <c r="C2" s="78" t="s">
        <v>2043</v>
      </c>
      <c r="D2" s="89" t="s">
        <v>122</v>
      </c>
      <c r="E2" s="89"/>
      <c r="F2" s="89"/>
      <c r="G2" s="81">
        <v>44403</v>
      </c>
      <c r="H2" s="80" t="s">
        <v>2138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2044</v>
      </c>
      <c r="D3" s="89" t="s">
        <v>5</v>
      </c>
      <c r="G3" s="81">
        <v>44407</v>
      </c>
      <c r="H3" s="82" t="s">
        <v>2903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2045</v>
      </c>
      <c r="D4" s="89" t="s">
        <v>5</v>
      </c>
      <c r="G4" s="81">
        <v>44407</v>
      </c>
      <c r="H4" s="82" t="s">
        <v>2903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2046</v>
      </c>
      <c r="D5" s="89" t="s">
        <v>521</v>
      </c>
      <c r="E5" s="89"/>
      <c r="F5" s="89"/>
      <c r="G5" s="81">
        <v>44407</v>
      </c>
      <c r="H5" s="80" t="s">
        <v>2139</v>
      </c>
      <c r="I5" s="81">
        <v>44407</v>
      </c>
      <c r="J5" s="82" t="s">
        <v>2140</v>
      </c>
    </row>
    <row r="6" spans="1:10" s="98" customFormat="1" ht="34" customHeight="1" x14ac:dyDescent="0.3">
      <c r="A6" s="81">
        <v>44399</v>
      </c>
      <c r="B6" s="89">
        <v>2</v>
      </c>
      <c r="C6" s="78" t="s">
        <v>2047</v>
      </c>
      <c r="D6" s="89" t="s">
        <v>10</v>
      </c>
      <c r="E6" s="89"/>
      <c r="F6" s="89"/>
      <c r="G6" s="81">
        <v>44407</v>
      </c>
      <c r="H6" s="80" t="s">
        <v>2141</v>
      </c>
      <c r="I6" s="81">
        <v>44400</v>
      </c>
      <c r="J6" s="82" t="s">
        <v>2142</v>
      </c>
    </row>
    <row r="7" spans="1:10" s="98" customFormat="1" ht="33" customHeight="1" x14ac:dyDescent="0.3">
      <c r="A7" s="81">
        <v>44399</v>
      </c>
      <c r="B7" s="89">
        <v>3</v>
      </c>
      <c r="C7" s="78" t="s">
        <v>2048</v>
      </c>
      <c r="D7" s="89" t="s">
        <v>10</v>
      </c>
      <c r="E7" s="89"/>
      <c r="F7" s="89"/>
      <c r="G7" s="81">
        <v>44407</v>
      </c>
      <c r="H7" s="78" t="s">
        <v>2143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2049</v>
      </c>
      <c r="D8" s="89" t="s">
        <v>9</v>
      </c>
      <c r="E8" s="89"/>
      <c r="F8" s="89"/>
      <c r="G8" s="81">
        <v>44407</v>
      </c>
      <c r="H8" s="82" t="s">
        <v>2144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2050</v>
      </c>
      <c r="D9" s="89" t="s">
        <v>122</v>
      </c>
      <c r="E9" s="89"/>
      <c r="F9" s="89"/>
      <c r="G9" s="81">
        <v>44414</v>
      </c>
      <c r="H9" s="82"/>
      <c r="I9" s="81">
        <v>44481</v>
      </c>
      <c r="J9" s="82" t="s">
        <v>2140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1512</v>
      </c>
      <c r="D10" s="89" t="s">
        <v>122</v>
      </c>
      <c r="E10" s="89"/>
      <c r="F10" s="89"/>
      <c r="G10" s="81">
        <v>44414</v>
      </c>
      <c r="H10" s="78" t="s">
        <v>2145</v>
      </c>
      <c r="I10" s="81">
        <v>44413</v>
      </c>
      <c r="J10" s="82" t="s">
        <v>2140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1516</v>
      </c>
      <c r="D11" s="89" t="s">
        <v>300</v>
      </c>
      <c r="E11" s="89"/>
      <c r="F11" s="89"/>
      <c r="G11" s="81">
        <v>44414</v>
      </c>
      <c r="H11" s="82" t="s">
        <v>2146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2051</v>
      </c>
      <c r="D12" s="89" t="s">
        <v>122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2052</v>
      </c>
      <c r="D13" s="89" t="s">
        <v>122</v>
      </c>
      <c r="E13" s="89"/>
      <c r="F13" s="89"/>
      <c r="G13" s="81">
        <v>44414</v>
      </c>
      <c r="H13" s="82" t="s">
        <v>2147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2053</v>
      </c>
      <c r="D14" s="89" t="s">
        <v>122</v>
      </c>
      <c r="E14" s="89"/>
      <c r="F14" s="89"/>
      <c r="G14" s="81">
        <v>44414</v>
      </c>
      <c r="H14" s="82" t="s">
        <v>2147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2054</v>
      </c>
      <c r="D15" s="89" t="s">
        <v>15</v>
      </c>
      <c r="E15" s="89"/>
      <c r="F15" s="89"/>
      <c r="G15" s="81">
        <v>44414</v>
      </c>
      <c r="H15" s="80" t="s">
        <v>2148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2055</v>
      </c>
      <c r="D16" s="89" t="s">
        <v>15</v>
      </c>
      <c r="E16" s="89"/>
      <c r="F16" s="89"/>
      <c r="G16" s="81">
        <v>44414</v>
      </c>
      <c r="H16" s="96" t="s">
        <v>2924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2056</v>
      </c>
      <c r="D17" s="89" t="s">
        <v>15</v>
      </c>
      <c r="E17" s="89"/>
      <c r="F17" s="89"/>
      <c r="G17" s="81">
        <v>44414</v>
      </c>
      <c r="H17" s="97" t="s">
        <v>2925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2057</v>
      </c>
      <c r="D18" s="89" t="s">
        <v>10</v>
      </c>
      <c r="G18" s="81">
        <v>44414</v>
      </c>
      <c r="H18" s="82" t="s">
        <v>2926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2058</v>
      </c>
      <c r="D19" s="89" t="s">
        <v>122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2059</v>
      </c>
      <c r="D20" s="89" t="s">
        <v>122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2060</v>
      </c>
      <c r="D21" s="89" t="s">
        <v>122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2061</v>
      </c>
      <c r="D22" s="89" t="s">
        <v>9</v>
      </c>
      <c r="G22" s="81">
        <v>44419</v>
      </c>
      <c r="H22" s="82" t="s">
        <v>2149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2062</v>
      </c>
      <c r="D23" s="89" t="s">
        <v>221</v>
      </c>
      <c r="G23" s="81">
        <v>44419</v>
      </c>
      <c r="H23" s="96" t="s">
        <v>2150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2063</v>
      </c>
      <c r="D24" s="89" t="s">
        <v>9</v>
      </c>
      <c r="E24" s="89"/>
      <c r="F24" s="89"/>
      <c r="G24" s="81">
        <v>44419</v>
      </c>
      <c r="H24" s="78" t="s">
        <v>2151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2064</v>
      </c>
      <c r="D25" s="89" t="s">
        <v>9</v>
      </c>
      <c r="E25" s="89"/>
      <c r="F25" s="89"/>
      <c r="G25" s="79">
        <v>44421</v>
      </c>
      <c r="H25" s="96" t="s">
        <v>2152</v>
      </c>
      <c r="I25" s="79">
        <v>44420</v>
      </c>
      <c r="J25" s="82" t="s">
        <v>2153</v>
      </c>
    </row>
    <row r="26" spans="1:10" s="98" customFormat="1" x14ac:dyDescent="0.3">
      <c r="A26" s="81">
        <v>44404</v>
      </c>
      <c r="B26" s="89">
        <v>3</v>
      </c>
      <c r="C26" s="78" t="s">
        <v>2065</v>
      </c>
      <c r="D26" s="89" t="s">
        <v>15</v>
      </c>
      <c r="E26" s="89"/>
      <c r="F26" s="89"/>
      <c r="G26" s="81">
        <v>44421</v>
      </c>
      <c r="H26" s="97" t="s">
        <v>2154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2066</v>
      </c>
      <c r="D27" s="100" t="s">
        <v>221</v>
      </c>
      <c r="E27" s="100"/>
      <c r="F27" s="100"/>
      <c r="G27" s="79">
        <v>44421</v>
      </c>
      <c r="H27" s="96" t="s">
        <v>2155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2067</v>
      </c>
      <c r="D28" s="89" t="s">
        <v>122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2068</v>
      </c>
      <c r="D29" s="89" t="s">
        <v>179</v>
      </c>
      <c r="E29" s="89"/>
      <c r="F29" s="89"/>
      <c r="G29" s="79">
        <v>44428</v>
      </c>
      <c r="H29" s="96" t="s">
        <v>2929</v>
      </c>
      <c r="I29" s="81">
        <v>44432</v>
      </c>
      <c r="J29" s="102" t="s">
        <v>2928</v>
      </c>
    </row>
    <row r="30" spans="1:10" s="98" customFormat="1" x14ac:dyDescent="0.3">
      <c r="A30" s="81">
        <v>44396</v>
      </c>
      <c r="B30" s="89">
        <v>1</v>
      </c>
      <c r="C30" s="78" t="s">
        <v>2069</v>
      </c>
      <c r="D30" s="89" t="s">
        <v>122</v>
      </c>
      <c r="E30" s="89"/>
      <c r="F30" s="89"/>
      <c r="G30" s="29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2909</v>
      </c>
      <c r="D31" s="152" t="s">
        <v>2920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2934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2923</v>
      </c>
      <c r="D32" s="89" t="s">
        <v>179</v>
      </c>
      <c r="E32" s="89" t="str">
        <f t="shared" ref="E32:E34" si="0">IFERROR(MID(C32,FIND("L",C32),5),"")</f>
        <v/>
      </c>
      <c r="F32" s="89" t="s">
        <v>2449</v>
      </c>
      <c r="G32" s="81">
        <v>44439</v>
      </c>
      <c r="H32" s="82" t="s">
        <v>2913</v>
      </c>
      <c r="I32" s="82" t="s">
        <v>2913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2072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2927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2073</v>
      </c>
      <c r="D34" s="89" t="s">
        <v>179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2074</v>
      </c>
      <c r="D35" s="89" t="s">
        <v>122</v>
      </c>
      <c r="E35" s="89"/>
      <c r="F35" s="89"/>
      <c r="G35" s="81" t="s">
        <v>2156</v>
      </c>
      <c r="H35" s="82"/>
      <c r="I35" s="81">
        <v>44547</v>
      </c>
      <c r="J35" s="82"/>
    </row>
    <row r="36" spans="1:11" x14ac:dyDescent="0.3">
      <c r="A36" s="81">
        <v>44431</v>
      </c>
      <c r="B36" s="602">
        <v>1</v>
      </c>
      <c r="C36" s="78" t="s">
        <v>2075</v>
      </c>
      <c r="D36" s="89" t="s">
        <v>122</v>
      </c>
      <c r="G36" s="71">
        <v>44454</v>
      </c>
      <c r="I36" s="81">
        <v>44519</v>
      </c>
    </row>
    <row r="37" spans="1:11" x14ac:dyDescent="0.4">
      <c r="A37" s="81">
        <v>44431</v>
      </c>
      <c r="B37" s="602">
        <v>2</v>
      </c>
      <c r="C37" s="68" t="s">
        <v>2076</v>
      </c>
      <c r="D37" s="89" t="s">
        <v>122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602">
        <v>1</v>
      </c>
      <c r="C38" s="78" t="s">
        <v>2077</v>
      </c>
      <c r="D38" s="602" t="s">
        <v>9</v>
      </c>
      <c r="E38" s="598"/>
      <c r="F38" s="598"/>
      <c r="G38" s="71">
        <v>44442</v>
      </c>
      <c r="H38" s="80" t="s">
        <v>2902</v>
      </c>
      <c r="I38" s="81">
        <v>44433</v>
      </c>
    </row>
    <row r="39" spans="1:11" ht="33" customHeight="1" x14ac:dyDescent="0.3">
      <c r="A39" s="71">
        <v>44432</v>
      </c>
      <c r="B39" s="602">
        <v>2</v>
      </c>
      <c r="C39" s="78" t="s">
        <v>2911</v>
      </c>
      <c r="D39" s="602" t="s">
        <v>179</v>
      </c>
      <c r="E39" s="89" t="str">
        <f t="shared" ref="E39:E40" si="1">IFERROR(MID(C39,FIND("L",C39),5),"")</f>
        <v/>
      </c>
      <c r="F39" s="89" t="s">
        <v>2912</v>
      </c>
      <c r="G39" s="71">
        <v>44560</v>
      </c>
      <c r="H39" s="80" t="s">
        <v>2932</v>
      </c>
      <c r="I39" s="81">
        <v>44553</v>
      </c>
    </row>
    <row r="40" spans="1:11" x14ac:dyDescent="0.3">
      <c r="A40" s="71">
        <v>44432</v>
      </c>
      <c r="B40" s="602">
        <v>3</v>
      </c>
      <c r="C40" s="78" t="s">
        <v>2079</v>
      </c>
      <c r="D40" s="602" t="s">
        <v>122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602">
        <v>4</v>
      </c>
      <c r="C41" s="78" t="s">
        <v>2080</v>
      </c>
      <c r="D41" s="602" t="s">
        <v>122</v>
      </c>
      <c r="E41" s="598"/>
      <c r="F41" s="598"/>
      <c r="G41" s="71">
        <v>44435</v>
      </c>
      <c r="H41" s="82" t="s">
        <v>2918</v>
      </c>
      <c r="I41" s="81">
        <v>44519</v>
      </c>
    </row>
    <row r="42" spans="1:11" ht="33" customHeight="1" x14ac:dyDescent="0.3">
      <c r="A42" s="71">
        <v>44432</v>
      </c>
      <c r="B42" s="602">
        <v>5</v>
      </c>
      <c r="C42" s="78" t="s">
        <v>2081</v>
      </c>
      <c r="D42" s="602" t="s">
        <v>122</v>
      </c>
      <c r="E42" s="598"/>
      <c r="F42" s="598"/>
      <c r="G42" s="71">
        <v>44435</v>
      </c>
      <c r="H42" s="82" t="s">
        <v>2919</v>
      </c>
      <c r="I42" s="81">
        <v>44456</v>
      </c>
    </row>
    <row r="43" spans="1:11" x14ac:dyDescent="0.3">
      <c r="A43" s="71">
        <v>44432</v>
      </c>
      <c r="B43" s="602">
        <v>6</v>
      </c>
      <c r="C43" s="78" t="s">
        <v>2082</v>
      </c>
      <c r="D43" s="602" t="s">
        <v>122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02">
        <v>1</v>
      </c>
      <c r="C44" s="78" t="s">
        <v>2083</v>
      </c>
      <c r="D44" s="602" t="s">
        <v>122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602">
        <v>2</v>
      </c>
      <c r="C45" s="78" t="s">
        <v>2084</v>
      </c>
      <c r="D45" s="602" t="s">
        <v>122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602">
        <v>1</v>
      </c>
      <c r="C46" s="74" t="s">
        <v>2085</v>
      </c>
      <c r="D46" s="125" t="s">
        <v>2157</v>
      </c>
      <c r="E46" s="125"/>
      <c r="F46" s="125"/>
      <c r="G46" s="71">
        <v>44449</v>
      </c>
      <c r="H46" s="80" t="s">
        <v>2158</v>
      </c>
      <c r="I46" s="81">
        <v>44462</v>
      </c>
    </row>
    <row r="47" spans="1:11" ht="73.5" customHeight="1" x14ac:dyDescent="0.3">
      <c r="A47" s="71">
        <v>44438</v>
      </c>
      <c r="B47" s="602">
        <v>2</v>
      </c>
      <c r="C47" s="74" t="s">
        <v>2086</v>
      </c>
      <c r="D47" s="125" t="s">
        <v>2157</v>
      </c>
      <c r="E47" s="125"/>
      <c r="F47" s="125"/>
      <c r="G47" s="71">
        <v>44449</v>
      </c>
      <c r="H47" s="80" t="s">
        <v>2915</v>
      </c>
      <c r="I47" s="81">
        <v>44462</v>
      </c>
    </row>
    <row r="48" spans="1:11" ht="34" customHeight="1" x14ac:dyDescent="0.3">
      <c r="A48" s="71">
        <v>44438</v>
      </c>
      <c r="B48" s="602">
        <v>3</v>
      </c>
      <c r="C48" s="78" t="s">
        <v>2087</v>
      </c>
      <c r="D48" s="602" t="s">
        <v>5</v>
      </c>
      <c r="E48" s="89" t="str">
        <f t="shared" ref="E48:E49" si="3">IFERROR(MID(C48,FIND("L",C48),5),"")</f>
        <v/>
      </c>
      <c r="F48" s="89" t="s">
        <v>2912</v>
      </c>
      <c r="G48" s="71">
        <v>44469</v>
      </c>
      <c r="H48" s="80" t="s">
        <v>2916</v>
      </c>
      <c r="I48" s="81">
        <v>44452</v>
      </c>
      <c r="K48" s="82" t="s">
        <v>2159</v>
      </c>
    </row>
    <row r="49" spans="1:10" ht="22" x14ac:dyDescent="0.3">
      <c r="A49" s="71">
        <v>44438</v>
      </c>
      <c r="B49" s="602">
        <v>4</v>
      </c>
      <c r="C49" s="74" t="s">
        <v>2921</v>
      </c>
      <c r="D49" s="602" t="s">
        <v>9</v>
      </c>
      <c r="E49" s="89" t="str">
        <f t="shared" si="3"/>
        <v/>
      </c>
      <c r="F49" s="89" t="s">
        <v>2917</v>
      </c>
      <c r="G49" s="71">
        <v>44449</v>
      </c>
      <c r="H49" s="80" t="s">
        <v>2931</v>
      </c>
      <c r="I49" s="81">
        <v>44524</v>
      </c>
    </row>
    <row r="50" spans="1:10" x14ac:dyDescent="0.3">
      <c r="A50" s="71">
        <v>44439</v>
      </c>
      <c r="B50" s="602">
        <v>1</v>
      </c>
      <c r="C50" s="78" t="s">
        <v>2089</v>
      </c>
      <c r="D50" s="89" t="s">
        <v>179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602">
        <v>2</v>
      </c>
      <c r="C51" s="123" t="s">
        <v>2090</v>
      </c>
      <c r="D51" s="125" t="s">
        <v>2160</v>
      </c>
      <c r="E51" s="125"/>
      <c r="F51" s="125"/>
      <c r="G51" s="71">
        <v>44449</v>
      </c>
      <c r="H51" s="80" t="s">
        <v>2161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2091</v>
      </c>
      <c r="D52" s="89" t="s">
        <v>179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2914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2933</v>
      </c>
      <c r="D53" s="89" t="s">
        <v>179</v>
      </c>
      <c r="E53" s="89" t="str">
        <f t="shared" si="4"/>
        <v/>
      </c>
      <c r="F53" s="89" t="s">
        <v>2912</v>
      </c>
      <c r="G53" s="71">
        <v>44469</v>
      </c>
      <c r="H53" s="226" t="s">
        <v>2948</v>
      </c>
    </row>
    <row r="54" spans="1:10" ht="40.5" x14ac:dyDescent="0.3">
      <c r="A54" s="81">
        <v>44455</v>
      </c>
      <c r="B54" s="89">
        <v>1</v>
      </c>
      <c r="C54" s="78" t="s">
        <v>2930</v>
      </c>
      <c r="D54" s="152" t="s">
        <v>2162</v>
      </c>
      <c r="E54" s="89" t="str">
        <f t="shared" si="4"/>
        <v>L6001</v>
      </c>
      <c r="F54" s="89" t="s">
        <v>2449</v>
      </c>
      <c r="G54" s="71">
        <v>44466</v>
      </c>
      <c r="H54" s="226" t="s">
        <v>2935</v>
      </c>
      <c r="I54" s="605"/>
    </row>
    <row r="55" spans="1:10" ht="33" customHeight="1" x14ac:dyDescent="0.3">
      <c r="A55" s="81">
        <v>44455</v>
      </c>
      <c r="B55" s="89">
        <v>2</v>
      </c>
      <c r="C55" s="78" t="s">
        <v>2094</v>
      </c>
      <c r="D55" s="89" t="s">
        <v>24</v>
      </c>
      <c r="G55" s="71">
        <v>44466</v>
      </c>
      <c r="H55" s="78" t="s">
        <v>2163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2095</v>
      </c>
      <c r="D56" s="602" t="s">
        <v>10</v>
      </c>
      <c r="E56" s="598"/>
      <c r="F56" s="598"/>
      <c r="G56" s="71">
        <v>44466</v>
      </c>
      <c r="H56" s="82" t="s">
        <v>2164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2096</v>
      </c>
      <c r="D57" s="602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2906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2097</v>
      </c>
      <c r="D58" s="89" t="s">
        <v>25</v>
      </c>
      <c r="G58" s="81">
        <v>44467</v>
      </c>
      <c r="H58" s="82" t="s">
        <v>2165</v>
      </c>
      <c r="I58" s="81">
        <v>44463</v>
      </c>
      <c r="J58" s="345">
        <v>44489</v>
      </c>
    </row>
    <row r="59" spans="1:10" x14ac:dyDescent="0.3">
      <c r="A59" s="81">
        <v>44463</v>
      </c>
      <c r="B59" s="89">
        <v>1</v>
      </c>
      <c r="C59" s="78" t="s">
        <v>2098</v>
      </c>
      <c r="D59" s="89" t="s">
        <v>25</v>
      </c>
      <c r="G59" s="81">
        <v>44469</v>
      </c>
      <c r="H59" s="82" t="s">
        <v>2166</v>
      </c>
      <c r="I59" s="81">
        <v>44469</v>
      </c>
      <c r="J59" s="345">
        <v>44489</v>
      </c>
    </row>
    <row r="60" spans="1:10" x14ac:dyDescent="0.3">
      <c r="A60" s="81">
        <v>44463</v>
      </c>
      <c r="B60" s="89">
        <v>2</v>
      </c>
      <c r="C60" s="78" t="s">
        <v>2099</v>
      </c>
      <c r="D60" s="89" t="s">
        <v>7</v>
      </c>
      <c r="G60" s="81">
        <v>44469</v>
      </c>
      <c r="H60" s="82" t="s">
        <v>2166</v>
      </c>
      <c r="I60" s="81">
        <v>44469</v>
      </c>
    </row>
    <row r="61" spans="1:10" ht="32.5" customHeight="1" x14ac:dyDescent="0.3">
      <c r="A61" s="71">
        <v>44467</v>
      </c>
      <c r="B61" s="602">
        <v>1</v>
      </c>
      <c r="C61" s="78" t="s">
        <v>2100</v>
      </c>
      <c r="D61" s="602" t="s">
        <v>8</v>
      </c>
      <c r="E61" s="598"/>
      <c r="F61" s="598"/>
      <c r="G61" s="71">
        <v>44477</v>
      </c>
      <c r="H61" s="82" t="s">
        <v>2146</v>
      </c>
      <c r="I61" s="81">
        <v>44468</v>
      </c>
    </row>
    <row r="62" spans="1:10" ht="40.5" x14ac:dyDescent="0.3">
      <c r="A62" s="71">
        <v>44468</v>
      </c>
      <c r="B62" s="602">
        <v>1</v>
      </c>
      <c r="C62" s="78" t="s">
        <v>2937</v>
      </c>
      <c r="D62" s="125" t="s">
        <v>2938</v>
      </c>
      <c r="E62" s="89" t="str">
        <f>IFERROR(MID(C62,FIND("L",C62),5),"")</f>
        <v/>
      </c>
      <c r="F62" s="89" t="s">
        <v>2449</v>
      </c>
      <c r="G62" s="71">
        <v>44475</v>
      </c>
      <c r="H62" s="226" t="s">
        <v>2936</v>
      </c>
      <c r="I62" s="80"/>
    </row>
    <row r="63" spans="1:10" ht="33" customHeight="1" x14ac:dyDescent="0.3">
      <c r="A63" s="71">
        <v>44481</v>
      </c>
      <c r="B63" s="602">
        <v>1</v>
      </c>
      <c r="C63" s="78" t="s">
        <v>2102</v>
      </c>
      <c r="D63" s="125" t="s">
        <v>23</v>
      </c>
      <c r="E63" s="125"/>
      <c r="F63" s="125"/>
      <c r="G63" s="81">
        <v>44487</v>
      </c>
      <c r="H63" s="82" t="s">
        <v>2167</v>
      </c>
      <c r="I63" s="81">
        <v>44483</v>
      </c>
    </row>
    <row r="64" spans="1:10" ht="148.5" customHeight="1" x14ac:dyDescent="0.3">
      <c r="A64" s="71">
        <v>44484</v>
      </c>
      <c r="B64" s="602">
        <v>1</v>
      </c>
      <c r="C64" s="78" t="s">
        <v>2103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2168</v>
      </c>
      <c r="I64" s="81">
        <v>44496</v>
      </c>
    </row>
    <row r="65" spans="1:10" ht="71.25" customHeight="1" x14ac:dyDescent="0.3">
      <c r="A65" s="71">
        <v>44487</v>
      </c>
      <c r="B65" s="602">
        <v>1</v>
      </c>
      <c r="C65" s="78" t="s">
        <v>2104</v>
      </c>
      <c r="D65" s="89" t="s">
        <v>14</v>
      </c>
      <c r="G65" s="81">
        <v>44487</v>
      </c>
      <c r="H65" s="226" t="s">
        <v>2169</v>
      </c>
      <c r="I65" s="81">
        <v>44494</v>
      </c>
    </row>
    <row r="66" spans="1:10" s="298" customFormat="1" ht="66" customHeight="1" x14ac:dyDescent="0.3">
      <c r="A66" s="71">
        <v>44488</v>
      </c>
      <c r="B66" s="602">
        <v>1</v>
      </c>
      <c r="C66" s="99" t="s">
        <v>2105</v>
      </c>
      <c r="D66" s="602" t="s">
        <v>24</v>
      </c>
      <c r="E66" s="598"/>
      <c r="F66" s="598"/>
      <c r="G66" s="71">
        <v>44491</v>
      </c>
      <c r="H66" s="78" t="s">
        <v>2170</v>
      </c>
      <c r="I66" s="71">
        <v>44490</v>
      </c>
    </row>
    <row r="67" spans="1:10" ht="33" customHeight="1" x14ac:dyDescent="0.3">
      <c r="A67" s="71">
        <v>44488</v>
      </c>
      <c r="B67" s="602">
        <v>2</v>
      </c>
      <c r="C67" s="78" t="s">
        <v>2843</v>
      </c>
      <c r="D67" s="602" t="s">
        <v>24</v>
      </c>
      <c r="E67" s="598"/>
      <c r="F67" s="598"/>
      <c r="G67" s="71">
        <v>44491</v>
      </c>
      <c r="H67" s="78" t="s">
        <v>2171</v>
      </c>
      <c r="I67" s="71">
        <v>44490</v>
      </c>
    </row>
    <row r="68" spans="1:10" ht="49.5" customHeight="1" x14ac:dyDescent="0.3">
      <c r="A68" s="71">
        <v>44488</v>
      </c>
      <c r="B68" s="602">
        <v>3</v>
      </c>
      <c r="C68" s="78" t="s">
        <v>2107</v>
      </c>
      <c r="D68" s="89" t="s">
        <v>8</v>
      </c>
      <c r="G68" s="71">
        <v>44491</v>
      </c>
      <c r="H68" s="78" t="s">
        <v>2172</v>
      </c>
      <c r="I68" s="71">
        <v>44490</v>
      </c>
    </row>
    <row r="69" spans="1:10" ht="49.5" customHeight="1" x14ac:dyDescent="0.3">
      <c r="A69" s="71">
        <v>44488</v>
      </c>
      <c r="B69" s="602">
        <v>4</v>
      </c>
      <c r="C69" s="78" t="s">
        <v>2108</v>
      </c>
      <c r="D69" s="89" t="s">
        <v>24</v>
      </c>
      <c r="G69" s="71">
        <v>44491</v>
      </c>
      <c r="H69" s="78" t="s">
        <v>2173</v>
      </c>
      <c r="I69" s="71">
        <v>44490</v>
      </c>
    </row>
    <row r="70" spans="1:10" ht="33" customHeight="1" x14ac:dyDescent="0.3">
      <c r="A70" s="71">
        <v>44488</v>
      </c>
      <c r="B70" s="602">
        <v>5</v>
      </c>
      <c r="C70" s="78" t="s">
        <v>2904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2905</v>
      </c>
      <c r="I70" s="81">
        <v>44504</v>
      </c>
    </row>
    <row r="71" spans="1:10" ht="42.75" customHeight="1" x14ac:dyDescent="0.3">
      <c r="A71" s="71">
        <v>44488</v>
      </c>
      <c r="B71" s="602">
        <v>6</v>
      </c>
      <c r="C71" s="78" t="s">
        <v>2110</v>
      </c>
      <c r="D71" s="89" t="s">
        <v>14</v>
      </c>
      <c r="G71" s="81">
        <v>44495</v>
      </c>
      <c r="H71" s="226" t="s">
        <v>2174</v>
      </c>
      <c r="I71" s="71">
        <v>44495</v>
      </c>
    </row>
    <row r="72" spans="1:10" ht="66" customHeight="1" x14ac:dyDescent="0.3">
      <c r="A72" s="71">
        <v>44490</v>
      </c>
      <c r="B72" s="602">
        <v>1</v>
      </c>
      <c r="C72" s="78" t="s">
        <v>2111</v>
      </c>
      <c r="D72" s="602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00">
        <v>44531</v>
      </c>
    </row>
    <row r="73" spans="1:10" ht="33" customHeight="1" x14ac:dyDescent="0.3">
      <c r="A73" s="71">
        <v>44491</v>
      </c>
      <c r="B73" s="602">
        <v>1</v>
      </c>
      <c r="C73" s="78" t="s">
        <v>2907</v>
      </c>
      <c r="D73" s="602" t="s">
        <v>180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2908</v>
      </c>
      <c r="I73" s="81">
        <v>44501</v>
      </c>
    </row>
    <row r="74" spans="1:10" ht="313.5" customHeight="1" x14ac:dyDescent="0.3">
      <c r="A74" s="71">
        <v>44491</v>
      </c>
      <c r="B74" s="602">
        <v>2</v>
      </c>
      <c r="C74" s="78" t="s">
        <v>2113</v>
      </c>
      <c r="D74" s="602" t="s">
        <v>179</v>
      </c>
      <c r="E74" s="89" t="str">
        <f t="shared" si="5"/>
        <v>L1905</v>
      </c>
      <c r="F74" s="601" t="s">
        <v>122</v>
      </c>
      <c r="G74" s="71">
        <v>44494</v>
      </c>
      <c r="H74" s="78" t="s">
        <v>2175</v>
      </c>
      <c r="I74" s="81">
        <v>44494</v>
      </c>
    </row>
    <row r="75" spans="1:10" ht="33" customHeight="1" x14ac:dyDescent="0.3">
      <c r="A75" s="71">
        <v>44494</v>
      </c>
      <c r="B75" s="602">
        <v>1</v>
      </c>
      <c r="C75" s="78" t="s">
        <v>2114</v>
      </c>
      <c r="D75" s="602" t="s">
        <v>122</v>
      </c>
      <c r="E75" s="598"/>
      <c r="F75" s="59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602">
        <v>2</v>
      </c>
      <c r="C76" s="78" t="s">
        <v>2115</v>
      </c>
      <c r="D76" s="602" t="s">
        <v>122</v>
      </c>
      <c r="E76" s="598"/>
      <c r="F76" s="59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602">
        <v>1</v>
      </c>
      <c r="C77" s="78" t="s">
        <v>2116</v>
      </c>
      <c r="D77" s="602" t="s">
        <v>2176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2117</v>
      </c>
      <c r="D78" s="89" t="s">
        <v>25</v>
      </c>
      <c r="G78" s="81">
        <v>44526</v>
      </c>
      <c r="H78" s="78" t="s">
        <v>2899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2118</v>
      </c>
      <c r="D79" s="89" t="s">
        <v>7</v>
      </c>
      <c r="G79" s="81" t="s">
        <v>2177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2119</v>
      </c>
      <c r="D80" s="89" t="s">
        <v>28</v>
      </c>
      <c r="E80" s="89" t="str">
        <f t="shared" ref="E80:E81" si="6">IFERROR(MID(C80,FIND("L",C80),5),"")</f>
        <v/>
      </c>
      <c r="F80" s="89" t="s">
        <v>2751</v>
      </c>
      <c r="G80" s="81">
        <v>44505</v>
      </c>
      <c r="H80" s="78" t="s">
        <v>2178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2120</v>
      </c>
      <c r="D81" s="89" t="s">
        <v>28</v>
      </c>
      <c r="E81" s="89" t="str">
        <f t="shared" si="6"/>
        <v/>
      </c>
      <c r="F81" s="89" t="s">
        <v>2751</v>
      </c>
      <c r="G81" s="81">
        <v>44505</v>
      </c>
      <c r="H81" s="78" t="s">
        <v>2179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2121</v>
      </c>
      <c r="D82" s="89" t="s">
        <v>123</v>
      </c>
      <c r="H82" s="82" t="s">
        <v>2180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2122</v>
      </c>
      <c r="D83" s="89" t="s">
        <v>123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2146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2123</v>
      </c>
      <c r="D84" s="89" t="s">
        <v>25</v>
      </c>
      <c r="E84" s="89" t="str">
        <f t="shared" si="7"/>
        <v/>
      </c>
      <c r="F84" s="89" t="s">
        <v>2751</v>
      </c>
      <c r="G84" s="81">
        <v>44561</v>
      </c>
      <c r="H84" s="82" t="s">
        <v>2602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2181</v>
      </c>
      <c r="D85" s="89" t="s">
        <v>123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2146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2182</v>
      </c>
      <c r="D86" s="89" t="s">
        <v>24</v>
      </c>
      <c r="G86" s="81">
        <v>44498</v>
      </c>
      <c r="H86" s="82" t="s">
        <v>2146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2183</v>
      </c>
      <c r="D87" s="89" t="s">
        <v>24</v>
      </c>
      <c r="G87" s="81">
        <v>44498</v>
      </c>
      <c r="H87" s="82" t="s">
        <v>2146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2184</v>
      </c>
      <c r="D88" s="152" t="s">
        <v>2162</v>
      </c>
      <c r="E88" s="152"/>
      <c r="F88" s="152"/>
      <c r="G88" s="81">
        <v>44526</v>
      </c>
      <c r="H88" s="82" t="s">
        <v>2146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2728</v>
      </c>
      <c r="D89" s="37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2729</v>
      </c>
      <c r="I89" s="81">
        <v>44501</v>
      </c>
    </row>
    <row r="90" spans="1:10" ht="42.75" customHeight="1" x14ac:dyDescent="0.3">
      <c r="A90" s="71">
        <v>44524</v>
      </c>
      <c r="B90" s="602">
        <v>1</v>
      </c>
      <c r="C90" s="78" t="s">
        <v>2750</v>
      </c>
      <c r="D90" s="89" t="s">
        <v>2751</v>
      </c>
      <c r="G90" s="81">
        <v>44526</v>
      </c>
      <c r="H90" s="82" t="s">
        <v>2146</v>
      </c>
      <c r="I90" s="71">
        <v>44526</v>
      </c>
    </row>
    <row r="91" spans="1:10" ht="42.75" customHeight="1" x14ac:dyDescent="0.3">
      <c r="A91" s="71">
        <v>44517</v>
      </c>
      <c r="B91" s="602">
        <v>1</v>
      </c>
      <c r="C91" s="78" t="s">
        <v>2767</v>
      </c>
      <c r="D91" s="89" t="s">
        <v>2751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2146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2770</v>
      </c>
      <c r="D92" s="89" t="s">
        <v>2771</v>
      </c>
      <c r="G92" s="599">
        <v>44529</v>
      </c>
      <c r="H92" s="82" t="s">
        <v>2898</v>
      </c>
      <c r="I92" s="81">
        <v>44529</v>
      </c>
      <c r="J92" s="600">
        <v>44544</v>
      </c>
    </row>
    <row r="93" spans="1:10" ht="62.5" x14ac:dyDescent="0.3">
      <c r="A93" s="71">
        <v>44529</v>
      </c>
      <c r="B93" s="602">
        <v>1</v>
      </c>
      <c r="C93" s="78" t="s">
        <v>2910</v>
      </c>
      <c r="D93" s="152" t="s">
        <v>2784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04" t="s">
        <v>2922</v>
      </c>
      <c r="I93" s="81">
        <v>44553</v>
      </c>
    </row>
  </sheetData>
  <autoFilter ref="A1:J93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2126</v>
      </c>
      <c r="B1" s="5" t="s">
        <v>2127</v>
      </c>
      <c r="C1" s="5" t="s">
        <v>2128</v>
      </c>
    </row>
    <row r="2" spans="1:3" x14ac:dyDescent="0.35">
      <c r="A2" s="249">
        <v>1</v>
      </c>
      <c r="B2" s="46" t="s">
        <v>2074</v>
      </c>
      <c r="C2" s="4" t="s">
        <v>2129</v>
      </c>
    </row>
    <row r="3" spans="1:3" x14ac:dyDescent="0.35">
      <c r="A3" s="249">
        <v>2</v>
      </c>
      <c r="B3" s="4" t="s">
        <v>2073</v>
      </c>
      <c r="C3" s="4" t="s">
        <v>351</v>
      </c>
    </row>
    <row r="4" spans="1:3" ht="45" customHeight="1" x14ac:dyDescent="0.35">
      <c r="A4" s="249">
        <v>3</v>
      </c>
      <c r="B4" s="46" t="s">
        <v>2130</v>
      </c>
      <c r="C4" s="4" t="s">
        <v>2131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89"/>
    <col min="4" max="4" width="27.5" style="389" bestFit="1" customWidth="1"/>
    <col min="5" max="16384" width="8.69921875" style="389"/>
  </cols>
  <sheetData>
    <row r="1" spans="3:6" x14ac:dyDescent="0.3">
      <c r="C1" s="391" t="s">
        <v>2715</v>
      </c>
      <c r="D1" s="391" t="s">
        <v>2714</v>
      </c>
      <c r="E1" s="391" t="s">
        <v>2408</v>
      </c>
      <c r="F1" s="391" t="s">
        <v>2713</v>
      </c>
    </row>
    <row r="2" spans="3:6" x14ac:dyDescent="0.3">
      <c r="C2" s="389" t="s">
        <v>2711</v>
      </c>
      <c r="D2" s="400" t="s">
        <v>1446</v>
      </c>
      <c r="E2" s="389">
        <v>8</v>
      </c>
      <c r="F2" s="389">
        <v>10</v>
      </c>
    </row>
    <row r="3" spans="3:6" x14ac:dyDescent="0.3">
      <c r="D3" s="400" t="s">
        <v>2469</v>
      </c>
      <c r="E3" s="389">
        <v>1</v>
      </c>
      <c r="F3" s="389">
        <v>5</v>
      </c>
    </row>
    <row r="4" spans="3:6" x14ac:dyDescent="0.3">
      <c r="D4" s="400" t="s">
        <v>2534</v>
      </c>
      <c r="E4" s="389">
        <v>6</v>
      </c>
      <c r="F4" s="389">
        <v>7</v>
      </c>
    </row>
    <row r="5" spans="3:6" x14ac:dyDescent="0.3">
      <c r="C5" s="391" t="s">
        <v>2543</v>
      </c>
      <c r="D5" s="391"/>
      <c r="E5" s="391">
        <f>SUM(E2:E4)</f>
        <v>15</v>
      </c>
      <c r="F5" s="391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28"/>
  <sheetViews>
    <sheetView topLeftCell="A15" workbookViewId="0">
      <selection activeCell="AF22" sqref="AF22"/>
    </sheetView>
  </sheetViews>
  <sheetFormatPr defaultColWidth="8.69921875" defaultRowHeight="14.5" x14ac:dyDescent="0.35"/>
  <cols>
    <col min="1" max="1" width="11.8984375" style="274" customWidth="1"/>
    <col min="2" max="2" width="6.19921875" style="300" customWidth="1"/>
    <col min="3" max="3" width="6.8984375" style="300" customWidth="1"/>
    <col min="4" max="4" width="7.19921875" style="300" customWidth="1"/>
    <col min="5" max="22" width="5.19921875" style="278" customWidth="1"/>
    <col min="23" max="23" width="5.19921875" style="278" hidden="1" customWidth="1"/>
    <col min="24" max="24" width="5" style="278" bestFit="1" customWidth="1"/>
    <col min="25" max="25" width="8.69921875" style="278" customWidth="1"/>
    <col min="26" max="26" width="8.69921875" style="278" bestFit="1" customWidth="1"/>
    <col min="27" max="30" width="8.69921875" style="278" customWidth="1"/>
    <col min="31" max="16384" width="8.69921875" style="278"/>
  </cols>
  <sheetData>
    <row r="1" spans="1:26" ht="16.5" customHeight="1" x14ac:dyDescent="0.35">
      <c r="A1" s="126" t="s">
        <v>1469</v>
      </c>
      <c r="B1" s="359"/>
      <c r="C1" s="359"/>
      <c r="D1" s="359"/>
      <c r="E1" s="58" t="s">
        <v>1471</v>
      </c>
      <c r="F1" s="59"/>
      <c r="G1" s="58" t="s">
        <v>1472</v>
      </c>
      <c r="H1" s="59"/>
      <c r="I1" s="60" t="s">
        <v>1474</v>
      </c>
      <c r="J1" s="61"/>
      <c r="K1" s="62" t="s">
        <v>1475</v>
      </c>
      <c r="L1" s="63"/>
      <c r="M1" s="63"/>
      <c r="N1" s="63"/>
      <c r="O1" s="63"/>
      <c r="P1" s="63"/>
      <c r="Q1" s="64" t="s">
        <v>1476</v>
      </c>
      <c r="R1" s="65"/>
      <c r="S1" s="64" t="s">
        <v>1477</v>
      </c>
      <c r="T1" s="65"/>
      <c r="U1" s="66" t="s">
        <v>2133</v>
      </c>
      <c r="V1" s="66"/>
      <c r="W1" s="66"/>
    </row>
    <row r="2" spans="1:26" x14ac:dyDescent="0.35">
      <c r="A2" s="274" t="s">
        <v>2337</v>
      </c>
      <c r="B2" s="300" t="s">
        <v>56</v>
      </c>
      <c r="C2" s="300" t="s">
        <v>2146</v>
      </c>
      <c r="D2" s="300" t="s">
        <v>2324</v>
      </c>
      <c r="E2" s="278" t="s">
        <v>2338</v>
      </c>
      <c r="F2" s="278" t="s">
        <v>2339</v>
      </c>
      <c r="G2" s="278" t="s">
        <v>2340</v>
      </c>
      <c r="H2" s="278" t="s">
        <v>2341</v>
      </c>
      <c r="I2" s="278" t="s">
        <v>2342</v>
      </c>
      <c r="J2" s="278" t="s">
        <v>2343</v>
      </c>
      <c r="K2" s="278" t="s">
        <v>2344</v>
      </c>
      <c r="L2" s="278" t="s">
        <v>2345</v>
      </c>
      <c r="M2" s="278" t="s">
        <v>2346</v>
      </c>
      <c r="N2" s="278" t="s">
        <v>2347</v>
      </c>
      <c r="O2" s="278" t="s">
        <v>2348</v>
      </c>
      <c r="P2" s="278" t="s">
        <v>2349</v>
      </c>
      <c r="Q2" s="278" t="s">
        <v>2350</v>
      </c>
      <c r="R2" s="278" t="s">
        <v>2351</v>
      </c>
      <c r="S2" s="278" t="s">
        <v>2352</v>
      </c>
      <c r="T2" s="278" t="s">
        <v>2353</v>
      </c>
      <c r="U2" s="278" t="s">
        <v>2354</v>
      </c>
      <c r="V2" s="278" t="s">
        <v>2355</v>
      </c>
      <c r="W2" s="278" t="s">
        <v>2324</v>
      </c>
    </row>
    <row r="3" spans="1:26" hidden="1" x14ac:dyDescent="0.35">
      <c r="A3" s="274">
        <v>44411</v>
      </c>
      <c r="E3" s="278">
        <v>32</v>
      </c>
      <c r="F3" s="278">
        <v>8</v>
      </c>
      <c r="G3" s="278">
        <v>2</v>
      </c>
      <c r="H3" s="278">
        <v>1</v>
      </c>
      <c r="I3" s="278">
        <v>79</v>
      </c>
      <c r="J3" s="278">
        <v>37</v>
      </c>
      <c r="K3" s="278">
        <v>27</v>
      </c>
      <c r="L3" s="278">
        <v>1</v>
      </c>
      <c r="M3" s="278">
        <v>4</v>
      </c>
      <c r="N3" s="278">
        <v>0</v>
      </c>
      <c r="O3" s="278">
        <v>2</v>
      </c>
      <c r="P3" s="278">
        <v>0</v>
      </c>
      <c r="Q3" s="278">
        <v>13</v>
      </c>
      <c r="R3" s="278">
        <v>0</v>
      </c>
      <c r="U3" s="278">
        <v>34</v>
      </c>
      <c r="V3" s="278">
        <v>7</v>
      </c>
      <c r="W3" s="67">
        <f>V3/U3</f>
        <v>0.20588235294117646</v>
      </c>
    </row>
    <row r="4" spans="1:26" hidden="1" x14ac:dyDescent="0.35">
      <c r="A4" s="274">
        <v>44414</v>
      </c>
      <c r="E4" s="278">
        <v>32</v>
      </c>
      <c r="F4" s="278">
        <v>15</v>
      </c>
      <c r="G4" s="278">
        <v>2</v>
      </c>
      <c r="H4" s="278">
        <v>2</v>
      </c>
      <c r="I4" s="278">
        <v>79</v>
      </c>
      <c r="J4" s="278">
        <v>53</v>
      </c>
      <c r="K4" s="278">
        <v>27</v>
      </c>
      <c r="L4" s="278">
        <v>3</v>
      </c>
      <c r="M4" s="278">
        <v>4</v>
      </c>
      <c r="N4" s="278">
        <v>1</v>
      </c>
      <c r="O4" s="278">
        <v>2</v>
      </c>
      <c r="P4" s="278">
        <v>0</v>
      </c>
      <c r="Q4" s="278">
        <v>13</v>
      </c>
      <c r="R4" s="278">
        <v>0</v>
      </c>
      <c r="U4" s="278">
        <v>34</v>
      </c>
      <c r="V4" s="278">
        <v>12</v>
      </c>
      <c r="W4" s="67">
        <f>V4/U4</f>
        <v>0.35294117647058826</v>
      </c>
    </row>
    <row r="5" spans="1:26" x14ac:dyDescent="0.35">
      <c r="A5" s="274">
        <v>44417</v>
      </c>
      <c r="B5" s="300">
        <f t="shared" ref="B5:B12" si="0">SUM(E5,G5,H5,I5,K5,M5,O5,Q5,U5)</f>
        <v>195</v>
      </c>
      <c r="C5" s="300">
        <f t="shared" ref="C5:C12" si="1">SUM(F5,H5,J5,L5,N5,P5,R5,V5)</f>
        <v>87</v>
      </c>
      <c r="D5" s="294">
        <f t="shared" ref="D5:D24" si="2">C5/B5</f>
        <v>0.44615384615384618</v>
      </c>
      <c r="E5" s="278">
        <v>32</v>
      </c>
      <c r="F5" s="278">
        <v>15</v>
      </c>
      <c r="G5" s="278">
        <v>2</v>
      </c>
      <c r="H5" s="278">
        <v>2</v>
      </c>
      <c r="I5" s="278">
        <v>79</v>
      </c>
      <c r="J5" s="278">
        <v>53</v>
      </c>
      <c r="K5" s="278">
        <v>27</v>
      </c>
      <c r="L5" s="278">
        <v>3</v>
      </c>
      <c r="M5" s="278">
        <v>4</v>
      </c>
      <c r="N5" s="278">
        <v>1</v>
      </c>
      <c r="O5" s="278">
        <v>2</v>
      </c>
      <c r="P5" s="278">
        <v>0</v>
      </c>
      <c r="Q5" s="278">
        <v>13</v>
      </c>
      <c r="R5" s="278">
        <v>0</v>
      </c>
      <c r="U5" s="278">
        <v>34</v>
      </c>
      <c r="V5" s="278">
        <v>13</v>
      </c>
      <c r="X5" s="278">
        <f t="shared" ref="X5:X17" si="3">SUM(F5,H5,J5,L5,N5,P5,R5)</f>
        <v>74</v>
      </c>
    </row>
    <row r="6" spans="1:26" hidden="1" x14ac:dyDescent="0.35">
      <c r="A6" s="274">
        <v>44420</v>
      </c>
      <c r="B6" s="300">
        <f t="shared" si="0"/>
        <v>195</v>
      </c>
      <c r="C6" s="300">
        <f t="shared" si="1"/>
        <v>96</v>
      </c>
      <c r="D6" s="294">
        <f t="shared" si="2"/>
        <v>0.49230769230769234</v>
      </c>
      <c r="E6" s="278">
        <v>32</v>
      </c>
      <c r="F6" s="124">
        <v>17</v>
      </c>
      <c r="G6" s="278">
        <v>2</v>
      </c>
      <c r="H6" s="278">
        <v>2</v>
      </c>
      <c r="I6" s="278">
        <v>79</v>
      </c>
      <c r="J6" s="278">
        <v>55</v>
      </c>
      <c r="K6" s="278">
        <v>27</v>
      </c>
      <c r="L6" s="278">
        <v>3</v>
      </c>
      <c r="M6" s="278">
        <v>4</v>
      </c>
      <c r="N6" s="278">
        <v>1</v>
      </c>
      <c r="O6" s="278">
        <v>2</v>
      </c>
      <c r="P6" s="278">
        <v>0</v>
      </c>
      <c r="Q6" s="278">
        <v>13</v>
      </c>
      <c r="R6" s="278">
        <v>0</v>
      </c>
      <c r="U6" s="278">
        <v>34</v>
      </c>
      <c r="V6" s="124">
        <v>18</v>
      </c>
      <c r="X6" s="278">
        <f t="shared" si="3"/>
        <v>78</v>
      </c>
    </row>
    <row r="7" spans="1:26" x14ac:dyDescent="0.35">
      <c r="A7" s="274">
        <v>44424</v>
      </c>
      <c r="B7" s="300">
        <f t="shared" si="0"/>
        <v>195</v>
      </c>
      <c r="C7" s="300">
        <f t="shared" si="1"/>
        <v>96</v>
      </c>
      <c r="D7" s="294">
        <f t="shared" si="2"/>
        <v>0.49230769230769234</v>
      </c>
      <c r="E7" s="278">
        <v>32</v>
      </c>
      <c r="F7" s="278">
        <v>17</v>
      </c>
      <c r="G7" s="278">
        <v>2</v>
      </c>
      <c r="H7" s="278">
        <v>2</v>
      </c>
      <c r="I7" s="278">
        <v>79</v>
      </c>
      <c r="J7" s="278">
        <v>55</v>
      </c>
      <c r="K7" s="278">
        <v>27</v>
      </c>
      <c r="L7" s="278">
        <v>3</v>
      </c>
      <c r="M7" s="278">
        <v>4</v>
      </c>
      <c r="N7" s="278">
        <v>1</v>
      </c>
      <c r="O7" s="278">
        <v>2</v>
      </c>
      <c r="P7" s="278">
        <v>0</v>
      </c>
      <c r="Q7" s="278">
        <v>13</v>
      </c>
      <c r="R7" s="278">
        <v>0</v>
      </c>
      <c r="U7" s="278">
        <v>34</v>
      </c>
      <c r="V7" s="278">
        <v>18</v>
      </c>
      <c r="X7" s="278">
        <f t="shared" si="3"/>
        <v>78</v>
      </c>
    </row>
    <row r="8" spans="1:26" hidden="1" x14ac:dyDescent="0.35">
      <c r="A8" s="274">
        <v>44426</v>
      </c>
      <c r="B8" s="300">
        <f t="shared" si="0"/>
        <v>197</v>
      </c>
      <c r="C8" s="300">
        <f t="shared" si="1"/>
        <v>101</v>
      </c>
      <c r="D8" s="294">
        <f t="shared" si="2"/>
        <v>0.51269035532994922</v>
      </c>
      <c r="E8" s="278">
        <v>32</v>
      </c>
      <c r="F8" s="124">
        <v>18</v>
      </c>
      <c r="G8" s="278">
        <v>2</v>
      </c>
      <c r="H8" s="278">
        <v>2</v>
      </c>
      <c r="I8" s="278">
        <v>79</v>
      </c>
      <c r="J8" s="124">
        <v>56</v>
      </c>
      <c r="K8" s="124">
        <v>28</v>
      </c>
      <c r="L8" s="278">
        <v>3</v>
      </c>
      <c r="M8" s="278">
        <v>4</v>
      </c>
      <c r="N8" s="278">
        <v>1</v>
      </c>
      <c r="O8" s="278">
        <v>2</v>
      </c>
      <c r="P8" s="278">
        <v>0</v>
      </c>
      <c r="Q8" s="124">
        <v>14</v>
      </c>
      <c r="R8" s="124">
        <v>2</v>
      </c>
      <c r="S8" s="124"/>
      <c r="T8" s="124"/>
      <c r="U8" s="278">
        <v>34</v>
      </c>
      <c r="V8" s="124">
        <v>19</v>
      </c>
      <c r="X8" s="124">
        <f t="shared" si="3"/>
        <v>82</v>
      </c>
    </row>
    <row r="9" spans="1:26" hidden="1" x14ac:dyDescent="0.35">
      <c r="A9" s="274">
        <v>44428</v>
      </c>
      <c r="B9" s="300">
        <f t="shared" si="0"/>
        <v>202</v>
      </c>
      <c r="C9" s="300">
        <f t="shared" si="1"/>
        <v>107</v>
      </c>
      <c r="D9" s="294">
        <f t="shared" si="2"/>
        <v>0.52970297029702973</v>
      </c>
      <c r="E9" s="278">
        <v>32</v>
      </c>
      <c r="F9" s="124">
        <v>19</v>
      </c>
      <c r="G9" s="278">
        <v>2</v>
      </c>
      <c r="H9" s="278">
        <v>2</v>
      </c>
      <c r="I9" s="124">
        <v>81</v>
      </c>
      <c r="J9" s="124">
        <v>60</v>
      </c>
      <c r="K9" s="124">
        <v>31</v>
      </c>
      <c r="L9" s="124">
        <v>4</v>
      </c>
      <c r="M9" s="278">
        <v>4</v>
      </c>
      <c r="N9" s="278">
        <v>1</v>
      </c>
      <c r="O9" s="278">
        <v>2</v>
      </c>
      <c r="P9" s="278">
        <v>0</v>
      </c>
      <c r="Q9" s="278">
        <v>14</v>
      </c>
      <c r="R9" s="278">
        <v>2</v>
      </c>
      <c r="U9" s="278">
        <v>34</v>
      </c>
      <c r="V9" s="278">
        <v>19</v>
      </c>
      <c r="X9" s="124">
        <f t="shared" si="3"/>
        <v>88</v>
      </c>
    </row>
    <row r="10" spans="1:26" hidden="1" x14ac:dyDescent="0.35">
      <c r="A10" s="274">
        <v>44431</v>
      </c>
      <c r="B10" s="300">
        <f t="shared" si="0"/>
        <v>202</v>
      </c>
      <c r="C10" s="300">
        <f t="shared" si="1"/>
        <v>107</v>
      </c>
      <c r="D10" s="294">
        <f t="shared" si="2"/>
        <v>0.52970297029702973</v>
      </c>
      <c r="E10" s="278">
        <v>32</v>
      </c>
      <c r="F10" s="278">
        <v>19</v>
      </c>
      <c r="G10" s="278">
        <v>2</v>
      </c>
      <c r="H10" s="278">
        <v>2</v>
      </c>
      <c r="I10" s="278">
        <v>81</v>
      </c>
      <c r="J10" s="278">
        <v>60</v>
      </c>
      <c r="K10" s="278">
        <v>31</v>
      </c>
      <c r="L10" s="278">
        <v>4</v>
      </c>
      <c r="M10" s="278">
        <v>4</v>
      </c>
      <c r="N10" s="278">
        <v>1</v>
      </c>
      <c r="O10" s="278">
        <v>2</v>
      </c>
      <c r="P10" s="278">
        <v>0</v>
      </c>
      <c r="Q10" s="278">
        <v>14</v>
      </c>
      <c r="R10" s="278">
        <v>2</v>
      </c>
      <c r="U10" s="278">
        <v>34</v>
      </c>
      <c r="V10" s="278">
        <v>19</v>
      </c>
      <c r="X10" s="278">
        <f t="shared" si="3"/>
        <v>88</v>
      </c>
    </row>
    <row r="11" spans="1:26" hidden="1" x14ac:dyDescent="0.35">
      <c r="A11" s="274">
        <v>44432</v>
      </c>
      <c r="B11" s="300">
        <f t="shared" si="0"/>
        <v>202</v>
      </c>
      <c r="C11" s="300">
        <f t="shared" si="1"/>
        <v>108</v>
      </c>
      <c r="D11" s="294">
        <f t="shared" si="2"/>
        <v>0.53465346534653468</v>
      </c>
      <c r="E11" s="278">
        <v>32</v>
      </c>
      <c r="F11" s="278">
        <v>19</v>
      </c>
      <c r="G11" s="278">
        <v>2</v>
      </c>
      <c r="H11" s="278">
        <v>2</v>
      </c>
      <c r="I11" s="278">
        <v>81</v>
      </c>
      <c r="J11" s="278">
        <v>60</v>
      </c>
      <c r="K11" s="278">
        <v>31</v>
      </c>
      <c r="L11" s="124">
        <v>5</v>
      </c>
      <c r="M11" s="278">
        <v>4</v>
      </c>
      <c r="N11" s="278">
        <v>1</v>
      </c>
      <c r="O11" s="278">
        <v>2</v>
      </c>
      <c r="P11" s="278">
        <v>0</v>
      </c>
      <c r="Q11" s="278">
        <v>14</v>
      </c>
      <c r="R11" s="278">
        <v>2</v>
      </c>
      <c r="U11" s="278">
        <v>34</v>
      </c>
      <c r="V11" s="278">
        <v>19</v>
      </c>
      <c r="X11" s="124">
        <f t="shared" si="3"/>
        <v>89</v>
      </c>
    </row>
    <row r="12" spans="1:26" x14ac:dyDescent="0.35">
      <c r="A12" s="274">
        <v>44434</v>
      </c>
      <c r="B12" s="300">
        <f t="shared" si="0"/>
        <v>210</v>
      </c>
      <c r="C12" s="300">
        <f t="shared" si="1"/>
        <v>108</v>
      </c>
      <c r="D12" s="294">
        <f t="shared" si="2"/>
        <v>0.51428571428571423</v>
      </c>
      <c r="E12" s="278">
        <v>32</v>
      </c>
      <c r="F12" s="278">
        <v>19</v>
      </c>
      <c r="G12" s="278">
        <v>2</v>
      </c>
      <c r="H12" s="278">
        <v>2</v>
      </c>
      <c r="I12" s="278">
        <v>81</v>
      </c>
      <c r="J12" s="278">
        <v>60</v>
      </c>
      <c r="K12" s="278">
        <v>31</v>
      </c>
      <c r="L12" s="278">
        <v>5</v>
      </c>
      <c r="M12" s="278">
        <v>4</v>
      </c>
      <c r="N12" s="278">
        <v>1</v>
      </c>
      <c r="O12" s="278">
        <v>2</v>
      </c>
      <c r="P12" s="278">
        <v>0</v>
      </c>
      <c r="Q12" s="278">
        <v>14</v>
      </c>
      <c r="R12" s="278">
        <v>2</v>
      </c>
      <c r="U12" s="124">
        <v>42</v>
      </c>
      <c r="V12" s="278">
        <v>19</v>
      </c>
      <c r="X12" s="278">
        <f t="shared" si="3"/>
        <v>89</v>
      </c>
      <c r="Z12" s="360"/>
    </row>
    <row r="13" spans="1:26" x14ac:dyDescent="0.35">
      <c r="A13" s="274">
        <v>44440</v>
      </c>
      <c r="B13" s="300">
        <f t="shared" ref="B13:B25" si="4">SUM(E13,G13,I13,K13,M13,O13,Q13,S13,U13)</f>
        <v>260</v>
      </c>
      <c r="C13" s="300">
        <f t="shared" ref="C13:C25" si="5">SUM(F13,H13,J13,L13,N13,P13,R13,T13,V13)</f>
        <v>133</v>
      </c>
      <c r="D13" s="294">
        <f t="shared" si="2"/>
        <v>0.5115384615384615</v>
      </c>
      <c r="E13" s="124">
        <v>33</v>
      </c>
      <c r="F13" s="124">
        <v>21</v>
      </c>
      <c r="G13" s="278">
        <v>2</v>
      </c>
      <c r="H13" s="278">
        <v>2</v>
      </c>
      <c r="I13" s="124">
        <v>108</v>
      </c>
      <c r="J13" s="124">
        <v>80</v>
      </c>
      <c r="K13" s="124">
        <v>47</v>
      </c>
      <c r="L13" s="124">
        <v>7</v>
      </c>
      <c r="M13" s="278">
        <v>4</v>
      </c>
      <c r="N13" s="278">
        <v>1</v>
      </c>
      <c r="O13" s="278">
        <v>2</v>
      </c>
      <c r="P13" s="278">
        <v>0</v>
      </c>
      <c r="Q13" s="278">
        <v>14</v>
      </c>
      <c r="R13" s="124">
        <v>3</v>
      </c>
      <c r="S13" s="124">
        <v>2</v>
      </c>
      <c r="T13" s="124">
        <v>0</v>
      </c>
      <c r="U13" s="124">
        <v>48</v>
      </c>
      <c r="V13" s="278">
        <v>19</v>
      </c>
      <c r="X13" s="278">
        <f t="shared" si="3"/>
        <v>114</v>
      </c>
    </row>
    <row r="14" spans="1:26" x14ac:dyDescent="0.35">
      <c r="A14" s="274">
        <v>44446</v>
      </c>
      <c r="B14" s="300">
        <f t="shared" si="4"/>
        <v>291</v>
      </c>
      <c r="C14" s="300">
        <f t="shared" si="5"/>
        <v>161</v>
      </c>
      <c r="D14" s="294">
        <f t="shared" si="2"/>
        <v>0.5532646048109966</v>
      </c>
      <c r="E14" s="124">
        <v>37</v>
      </c>
      <c r="F14" s="124">
        <v>24</v>
      </c>
      <c r="G14" s="278">
        <v>2</v>
      </c>
      <c r="H14" s="278">
        <v>2</v>
      </c>
      <c r="I14" s="124">
        <v>134</v>
      </c>
      <c r="J14" s="124">
        <v>95</v>
      </c>
      <c r="K14" s="124">
        <v>48</v>
      </c>
      <c r="L14" s="124">
        <v>13</v>
      </c>
      <c r="M14" s="278">
        <v>4</v>
      </c>
      <c r="N14" s="278">
        <v>1</v>
      </c>
      <c r="O14" s="124">
        <v>1</v>
      </c>
      <c r="P14" s="278">
        <v>0</v>
      </c>
      <c r="Q14" s="278">
        <v>14</v>
      </c>
      <c r="R14" s="124">
        <v>7</v>
      </c>
      <c r="S14" s="278">
        <v>2</v>
      </c>
      <c r="T14" s="278">
        <v>0</v>
      </c>
      <c r="U14" s="124">
        <v>49</v>
      </c>
      <c r="V14" s="278">
        <v>19</v>
      </c>
      <c r="X14" s="278">
        <f t="shared" si="3"/>
        <v>142</v>
      </c>
    </row>
    <row r="15" spans="1:26" x14ac:dyDescent="0.35">
      <c r="A15" s="274">
        <v>44456</v>
      </c>
      <c r="B15" s="300">
        <f t="shared" si="4"/>
        <v>295</v>
      </c>
      <c r="C15" s="300">
        <f t="shared" si="5"/>
        <v>222</v>
      </c>
      <c r="D15" s="294">
        <f t="shared" si="2"/>
        <v>0.75254237288135595</v>
      </c>
      <c r="E15" s="278">
        <v>37</v>
      </c>
      <c r="F15" s="124">
        <v>34</v>
      </c>
      <c r="G15" s="278">
        <v>2</v>
      </c>
      <c r="H15" s="278">
        <v>2</v>
      </c>
      <c r="I15" s="278">
        <v>134</v>
      </c>
      <c r="J15" s="124">
        <v>129</v>
      </c>
      <c r="K15" s="278">
        <v>48</v>
      </c>
      <c r="L15" s="124">
        <v>22</v>
      </c>
      <c r="M15" s="278">
        <v>4</v>
      </c>
      <c r="N15" s="124">
        <v>2</v>
      </c>
      <c r="O15" s="124">
        <v>2</v>
      </c>
      <c r="P15" s="124">
        <v>1</v>
      </c>
      <c r="Q15" s="278">
        <v>14</v>
      </c>
      <c r="R15" s="124">
        <v>13</v>
      </c>
      <c r="S15" s="278">
        <v>2</v>
      </c>
      <c r="T15" s="278">
        <v>0</v>
      </c>
      <c r="U15" s="124">
        <v>52</v>
      </c>
      <c r="V15" s="278">
        <v>19</v>
      </c>
      <c r="X15" s="278">
        <f t="shared" si="3"/>
        <v>203</v>
      </c>
    </row>
    <row r="16" spans="1:26" x14ac:dyDescent="0.35">
      <c r="A16" s="274">
        <v>44467</v>
      </c>
      <c r="B16" s="300">
        <f t="shared" si="4"/>
        <v>301</v>
      </c>
      <c r="C16" s="300">
        <f t="shared" si="5"/>
        <v>244</v>
      </c>
      <c r="D16" s="294">
        <f t="shared" si="2"/>
        <v>0.81063122923588038</v>
      </c>
      <c r="E16" s="278">
        <v>37</v>
      </c>
      <c r="F16" s="124">
        <v>37</v>
      </c>
      <c r="G16" s="278">
        <v>2</v>
      </c>
      <c r="H16" s="278">
        <v>2</v>
      </c>
      <c r="I16" s="278">
        <v>134</v>
      </c>
      <c r="J16" s="124">
        <v>132</v>
      </c>
      <c r="K16" s="278">
        <v>48</v>
      </c>
      <c r="L16" s="124">
        <v>29</v>
      </c>
      <c r="M16" s="278">
        <v>4</v>
      </c>
      <c r="N16" s="153">
        <v>2</v>
      </c>
      <c r="O16" s="153">
        <v>2</v>
      </c>
      <c r="P16" s="153">
        <v>1</v>
      </c>
      <c r="Q16" s="278">
        <v>14</v>
      </c>
      <c r="R16" s="153">
        <v>13</v>
      </c>
      <c r="S16" s="278">
        <v>2</v>
      </c>
      <c r="T16" s="278">
        <v>0</v>
      </c>
      <c r="U16" s="124">
        <v>58</v>
      </c>
      <c r="V16" s="124">
        <v>28</v>
      </c>
      <c r="X16" s="278">
        <f t="shared" si="3"/>
        <v>216</v>
      </c>
    </row>
    <row r="17" spans="1:24" x14ac:dyDescent="0.35">
      <c r="A17" s="274">
        <v>44473</v>
      </c>
      <c r="B17" s="300">
        <f t="shared" si="4"/>
        <v>387</v>
      </c>
      <c r="C17" s="300">
        <f t="shared" si="5"/>
        <v>309</v>
      </c>
      <c r="D17" s="294">
        <f t="shared" si="2"/>
        <v>0.79844961240310075</v>
      </c>
      <c r="E17" s="278">
        <v>37</v>
      </c>
      <c r="F17" s="278">
        <v>37</v>
      </c>
      <c r="G17" s="278">
        <v>2</v>
      </c>
      <c r="H17" s="278">
        <v>2</v>
      </c>
      <c r="I17" s="278">
        <v>206</v>
      </c>
      <c r="J17" s="278">
        <v>187</v>
      </c>
      <c r="K17" s="124">
        <v>60</v>
      </c>
      <c r="L17" s="124">
        <v>37</v>
      </c>
      <c r="M17" s="278">
        <v>4</v>
      </c>
      <c r="N17" s="278">
        <v>4</v>
      </c>
      <c r="O17" s="278">
        <v>2</v>
      </c>
      <c r="P17" s="278">
        <v>1</v>
      </c>
      <c r="Q17" s="278">
        <v>14</v>
      </c>
      <c r="R17" s="278">
        <v>13</v>
      </c>
      <c r="S17" s="278">
        <v>2</v>
      </c>
      <c r="T17" s="278">
        <v>0</v>
      </c>
      <c r="U17" s="278">
        <v>60</v>
      </c>
      <c r="V17" s="153">
        <v>28</v>
      </c>
      <c r="X17" s="278">
        <f t="shared" si="3"/>
        <v>281</v>
      </c>
    </row>
    <row r="18" spans="1:24" x14ac:dyDescent="0.35">
      <c r="A18" s="274">
        <v>44477</v>
      </c>
      <c r="B18" s="300">
        <f t="shared" si="4"/>
        <v>387</v>
      </c>
      <c r="C18" s="300">
        <f t="shared" si="5"/>
        <v>324</v>
      </c>
      <c r="D18" s="294">
        <f t="shared" si="2"/>
        <v>0.83720930232558144</v>
      </c>
      <c r="E18" s="278">
        <v>37</v>
      </c>
      <c r="F18" s="278">
        <v>37</v>
      </c>
      <c r="G18" s="278">
        <v>2</v>
      </c>
      <c r="H18" s="278">
        <v>2</v>
      </c>
      <c r="I18" s="278">
        <v>206</v>
      </c>
      <c r="J18" s="124">
        <v>196</v>
      </c>
      <c r="K18" s="278">
        <v>60</v>
      </c>
      <c r="L18" s="124">
        <v>38</v>
      </c>
      <c r="M18" s="278">
        <v>4</v>
      </c>
      <c r="N18" s="278">
        <v>4</v>
      </c>
      <c r="O18" s="278">
        <v>2</v>
      </c>
      <c r="P18" s="278">
        <v>1</v>
      </c>
      <c r="Q18" s="278">
        <v>14</v>
      </c>
      <c r="R18" s="278">
        <v>13</v>
      </c>
      <c r="S18" s="278">
        <v>2</v>
      </c>
      <c r="T18" s="278">
        <v>0</v>
      </c>
      <c r="U18" s="278">
        <v>60</v>
      </c>
      <c r="V18" s="278">
        <v>33</v>
      </c>
    </row>
    <row r="19" spans="1:24" x14ac:dyDescent="0.35">
      <c r="A19" s="274">
        <v>44491</v>
      </c>
      <c r="B19" s="300">
        <f t="shared" si="4"/>
        <v>425</v>
      </c>
      <c r="C19" s="300">
        <f t="shared" si="5"/>
        <v>354</v>
      </c>
      <c r="D19" s="294">
        <f t="shared" si="2"/>
        <v>0.83294117647058818</v>
      </c>
      <c r="E19" s="278">
        <v>37</v>
      </c>
      <c r="F19" s="278">
        <v>37</v>
      </c>
      <c r="G19" s="278">
        <v>2</v>
      </c>
      <c r="H19" s="278">
        <v>2</v>
      </c>
      <c r="I19" s="124">
        <v>237</v>
      </c>
      <c r="J19" s="124">
        <v>215</v>
      </c>
      <c r="K19" s="124">
        <v>66</v>
      </c>
      <c r="L19" s="124">
        <v>45</v>
      </c>
      <c r="M19" s="278">
        <v>4</v>
      </c>
      <c r="N19" s="278">
        <v>4</v>
      </c>
      <c r="O19" s="278">
        <v>2</v>
      </c>
      <c r="P19" s="278">
        <v>1</v>
      </c>
      <c r="Q19" s="278">
        <v>14</v>
      </c>
      <c r="R19" s="278">
        <v>13</v>
      </c>
      <c r="S19" s="278">
        <v>2</v>
      </c>
      <c r="T19" s="278">
        <v>0</v>
      </c>
      <c r="U19" s="124">
        <v>61</v>
      </c>
      <c r="V19" s="124">
        <v>37</v>
      </c>
    </row>
    <row r="20" spans="1:24" x14ac:dyDescent="0.35">
      <c r="A20" s="274">
        <v>44497</v>
      </c>
      <c r="B20" s="300">
        <f t="shared" si="4"/>
        <v>439</v>
      </c>
      <c r="C20" s="300">
        <f t="shared" si="5"/>
        <v>361</v>
      </c>
      <c r="D20" s="294">
        <f t="shared" si="2"/>
        <v>0.82232346241457854</v>
      </c>
      <c r="E20" s="278">
        <v>37</v>
      </c>
      <c r="F20" s="278">
        <v>37</v>
      </c>
      <c r="G20" s="278">
        <v>2</v>
      </c>
      <c r="H20" s="278">
        <v>2</v>
      </c>
      <c r="I20" s="153">
        <v>237</v>
      </c>
      <c r="J20" s="153">
        <v>215</v>
      </c>
      <c r="K20" s="124">
        <v>70</v>
      </c>
      <c r="L20" s="153">
        <v>45</v>
      </c>
      <c r="M20" s="278">
        <v>4</v>
      </c>
      <c r="N20" s="278">
        <v>4</v>
      </c>
      <c r="O20" s="278">
        <v>2</v>
      </c>
      <c r="P20" s="278">
        <v>1</v>
      </c>
      <c r="Q20" s="278">
        <v>14</v>
      </c>
      <c r="R20" s="278">
        <v>13</v>
      </c>
      <c r="S20" s="278">
        <v>2</v>
      </c>
      <c r="T20" s="278">
        <v>0</v>
      </c>
      <c r="U20" s="124">
        <v>71</v>
      </c>
      <c r="V20" s="124">
        <v>44</v>
      </c>
    </row>
    <row r="21" spans="1:24" x14ac:dyDescent="0.35">
      <c r="A21" s="274">
        <v>44511</v>
      </c>
      <c r="B21" s="300">
        <f t="shared" si="4"/>
        <v>570</v>
      </c>
      <c r="C21" s="300">
        <f t="shared" si="5"/>
        <v>491</v>
      </c>
      <c r="D21" s="294">
        <f t="shared" si="2"/>
        <v>0.86140350877192984</v>
      </c>
      <c r="E21" s="278">
        <v>37</v>
      </c>
      <c r="F21" s="278">
        <v>37</v>
      </c>
      <c r="G21" s="278">
        <v>2</v>
      </c>
      <c r="H21" s="27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8">
        <v>2</v>
      </c>
      <c r="P21" s="278">
        <v>1</v>
      </c>
      <c r="Q21" s="278">
        <v>14</v>
      </c>
      <c r="R21" s="278">
        <v>13</v>
      </c>
      <c r="S21" s="278">
        <v>2</v>
      </c>
      <c r="T21" s="278">
        <v>0</v>
      </c>
      <c r="U21" s="124">
        <v>81</v>
      </c>
      <c r="V21" s="124">
        <v>45</v>
      </c>
    </row>
    <row r="22" spans="1:24" x14ac:dyDescent="0.35">
      <c r="A22" s="274">
        <v>44515</v>
      </c>
      <c r="B22" s="300">
        <f t="shared" si="4"/>
        <v>572</v>
      </c>
      <c r="C22" s="300">
        <f t="shared" si="5"/>
        <v>492</v>
      </c>
      <c r="D22" s="294">
        <f t="shared" si="2"/>
        <v>0.8601398601398601</v>
      </c>
      <c r="E22" s="278">
        <v>37</v>
      </c>
      <c r="F22" s="278">
        <v>37</v>
      </c>
      <c r="G22" s="278">
        <v>2</v>
      </c>
      <c r="H22" s="278">
        <v>2</v>
      </c>
      <c r="I22" s="153">
        <v>332</v>
      </c>
      <c r="J22" s="153">
        <v>318</v>
      </c>
      <c r="K22" s="153">
        <v>92</v>
      </c>
      <c r="L22" s="124">
        <v>69</v>
      </c>
      <c r="M22" s="278">
        <v>8</v>
      </c>
      <c r="N22" s="278">
        <v>7</v>
      </c>
      <c r="O22" s="278">
        <v>2</v>
      </c>
      <c r="P22" s="278">
        <v>1</v>
      </c>
      <c r="Q22" s="278">
        <v>14</v>
      </c>
      <c r="R22" s="278">
        <v>13</v>
      </c>
      <c r="S22" s="278">
        <v>2</v>
      </c>
      <c r="T22" s="278">
        <v>0</v>
      </c>
      <c r="U22" s="124">
        <v>83</v>
      </c>
      <c r="V22" s="153">
        <v>45</v>
      </c>
    </row>
    <row r="23" spans="1:24" x14ac:dyDescent="0.35">
      <c r="A23" s="274">
        <v>44523</v>
      </c>
      <c r="B23" s="300">
        <f t="shared" si="4"/>
        <v>573</v>
      </c>
      <c r="C23" s="300">
        <f t="shared" si="5"/>
        <v>492</v>
      </c>
      <c r="D23" s="294">
        <f t="shared" si="2"/>
        <v>0.8586387434554974</v>
      </c>
      <c r="E23" s="278">
        <v>37</v>
      </c>
      <c r="F23" s="278">
        <v>37</v>
      </c>
      <c r="G23" s="278">
        <v>2</v>
      </c>
      <c r="H23" s="278">
        <v>2</v>
      </c>
      <c r="I23" s="153">
        <v>332</v>
      </c>
      <c r="J23" s="153">
        <v>318</v>
      </c>
      <c r="K23" s="153">
        <v>92</v>
      </c>
      <c r="L23" s="153">
        <v>69</v>
      </c>
      <c r="M23" s="278">
        <v>8</v>
      </c>
      <c r="N23" s="278">
        <v>7</v>
      </c>
      <c r="O23" s="278">
        <v>2</v>
      </c>
      <c r="P23" s="278">
        <v>1</v>
      </c>
      <c r="Q23" s="278">
        <v>14</v>
      </c>
      <c r="R23" s="278">
        <v>13</v>
      </c>
      <c r="S23" s="278">
        <v>2</v>
      </c>
      <c r="T23" s="278">
        <v>0</v>
      </c>
      <c r="U23" s="124">
        <v>84</v>
      </c>
      <c r="V23" s="153">
        <v>45</v>
      </c>
    </row>
    <row r="24" spans="1:24" x14ac:dyDescent="0.35">
      <c r="A24" s="274">
        <v>44524</v>
      </c>
      <c r="B24" s="300">
        <f t="shared" si="4"/>
        <v>573</v>
      </c>
      <c r="C24" s="300">
        <f t="shared" si="5"/>
        <v>498</v>
      </c>
      <c r="D24" s="294">
        <f t="shared" si="2"/>
        <v>0.86910994764397909</v>
      </c>
      <c r="E24" s="278">
        <v>37</v>
      </c>
      <c r="F24" s="278">
        <v>37</v>
      </c>
      <c r="G24" s="278">
        <v>2</v>
      </c>
      <c r="H24" s="278">
        <v>2</v>
      </c>
      <c r="I24" s="278">
        <v>332</v>
      </c>
      <c r="J24" s="124">
        <v>319</v>
      </c>
      <c r="K24" s="278">
        <v>92</v>
      </c>
      <c r="L24" s="124">
        <v>71</v>
      </c>
      <c r="M24" s="278">
        <v>8</v>
      </c>
      <c r="N24" s="278">
        <v>7</v>
      </c>
      <c r="O24" s="278">
        <v>2</v>
      </c>
      <c r="P24" s="278">
        <v>1</v>
      </c>
      <c r="Q24" s="278">
        <v>14</v>
      </c>
      <c r="R24" s="278">
        <v>13</v>
      </c>
      <c r="S24" s="278">
        <v>2</v>
      </c>
      <c r="T24" s="278">
        <v>0</v>
      </c>
      <c r="U24" s="278">
        <v>84</v>
      </c>
      <c r="V24" s="124">
        <v>48</v>
      </c>
    </row>
    <row r="25" spans="1:24" x14ac:dyDescent="0.35">
      <c r="A25" s="274">
        <v>44540</v>
      </c>
      <c r="B25" s="300">
        <f t="shared" si="4"/>
        <v>591</v>
      </c>
      <c r="C25" s="300">
        <f t="shared" si="5"/>
        <v>525</v>
      </c>
      <c r="D25" s="294">
        <f t="shared" ref="D25" si="6">C25/B25</f>
        <v>0.8883248730964467</v>
      </c>
      <c r="E25" s="278">
        <v>37</v>
      </c>
      <c r="F25" s="278">
        <v>37</v>
      </c>
      <c r="G25" s="278">
        <v>2</v>
      </c>
      <c r="H25" s="278">
        <v>2</v>
      </c>
      <c r="I25" s="124">
        <v>345</v>
      </c>
      <c r="J25" s="124">
        <v>335</v>
      </c>
      <c r="K25" s="124">
        <v>94</v>
      </c>
      <c r="L25" s="124">
        <v>81</v>
      </c>
      <c r="M25" s="278">
        <v>8</v>
      </c>
      <c r="N25" s="278">
        <v>7</v>
      </c>
      <c r="O25" s="278">
        <v>2</v>
      </c>
      <c r="P25" s="278">
        <v>1</v>
      </c>
      <c r="Q25" s="278">
        <v>14</v>
      </c>
      <c r="R25" s="278">
        <v>13</v>
      </c>
      <c r="S25" s="278">
        <v>2</v>
      </c>
      <c r="T25" s="278">
        <v>0</v>
      </c>
      <c r="U25" s="124">
        <v>87</v>
      </c>
      <c r="V25" s="124">
        <v>49</v>
      </c>
    </row>
    <row r="26" spans="1:24" x14ac:dyDescent="0.35">
      <c r="A26" s="274">
        <v>44554</v>
      </c>
      <c r="B26" s="300">
        <f>SUM(E26,G26,I26,K26,M26,O26,Q26,S26,U26)</f>
        <v>596</v>
      </c>
      <c r="C26" s="300">
        <f>SUM(F26,H26,J26,L26,N26,P26,R26,T26,V26)</f>
        <v>576</v>
      </c>
      <c r="D26" s="606">
        <f t="shared" ref="D26" si="7">C26/B26</f>
        <v>0.96644295302013428</v>
      </c>
      <c r="E26" s="278">
        <v>37</v>
      </c>
      <c r="F26" s="278">
        <v>37</v>
      </c>
      <c r="G26" s="278">
        <v>2</v>
      </c>
      <c r="H26" s="278">
        <v>2</v>
      </c>
      <c r="I26" s="278">
        <v>345</v>
      </c>
      <c r="J26" s="124">
        <v>341</v>
      </c>
      <c r="K26" s="278">
        <v>94</v>
      </c>
      <c r="L26" s="124">
        <v>87</v>
      </c>
      <c r="M26" s="278">
        <v>8</v>
      </c>
      <c r="N26" s="124">
        <v>8</v>
      </c>
      <c r="O26" s="278">
        <v>2</v>
      </c>
      <c r="P26" s="124">
        <v>2</v>
      </c>
      <c r="Q26" s="278">
        <v>14</v>
      </c>
      <c r="R26" s="124">
        <v>14</v>
      </c>
      <c r="S26" s="278">
        <v>2</v>
      </c>
      <c r="T26" s="278">
        <v>0</v>
      </c>
      <c r="U26" s="124">
        <v>92</v>
      </c>
      <c r="V26" s="124">
        <v>85</v>
      </c>
    </row>
    <row r="27" spans="1:24" x14ac:dyDescent="0.35">
      <c r="A27" s="274">
        <v>44564</v>
      </c>
      <c r="B27" s="300">
        <f>SUM(E27,G27,I27,K27,M27,O27,Q27,S27,U27)</f>
        <v>596</v>
      </c>
      <c r="C27" s="300">
        <f>SUM(F27,H27,J27,L27,N27,P27,R27,T27,V27)</f>
        <v>576</v>
      </c>
      <c r="D27" s="606">
        <f t="shared" ref="D27" si="8">C27/B27</f>
        <v>0.96644295302013428</v>
      </c>
      <c r="E27" s="278">
        <v>37</v>
      </c>
      <c r="F27" s="278">
        <v>37</v>
      </c>
      <c r="G27" s="278">
        <v>2</v>
      </c>
      <c r="H27" s="278">
        <v>2</v>
      </c>
      <c r="I27" s="278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 x14ac:dyDescent="0.35">
      <c r="D28" s="294"/>
      <c r="I28" s="124"/>
      <c r="J28" s="124">
        <f>I26-J26</f>
        <v>4</v>
      </c>
      <c r="K28" s="124"/>
      <c r="L28" s="124">
        <f>K26-L26</f>
        <v>7</v>
      </c>
      <c r="N28" s="296" t="s">
        <v>2356</v>
      </c>
      <c r="O28" s="295"/>
      <c r="P28" s="296" t="s">
        <v>2357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77" bestFit="1" customWidth="1"/>
    <col min="3" max="3" width="11.59765625" style="344" bestFit="1" customWidth="1"/>
    <col min="4" max="4" width="50.69921875" style="277" customWidth="1"/>
    <col min="5" max="6" width="10.19921875" style="277" bestFit="1" customWidth="1"/>
  </cols>
  <sheetData>
    <row r="1" spans="1:7" x14ac:dyDescent="0.3">
      <c r="A1" t="s">
        <v>2406</v>
      </c>
    </row>
    <row r="3" spans="1:7" x14ac:dyDescent="0.3">
      <c r="A3" s="277" t="s">
        <v>995</v>
      </c>
      <c r="B3" t="str">
        <f t="shared" ref="B3:B34" si="0">IF(FIND("連結",D3)&gt;0,"連結",FIND("連結",D3))</f>
        <v>連結</v>
      </c>
      <c r="C3" s="344" t="str">
        <f t="shared" ref="C3:C34" si="1">MID(D3,FIND("L",D3),5)</f>
        <v>L6752</v>
      </c>
      <c r="D3" t="s">
        <v>1480</v>
      </c>
      <c r="E3"/>
      <c r="F3" t="e">
        <f>MID(M10,FIND("L",M10),5)</f>
        <v>#VALUE!</v>
      </c>
      <c r="G3" t="s">
        <v>2043</v>
      </c>
    </row>
    <row r="4" spans="1:7" x14ac:dyDescent="0.3">
      <c r="A4" s="277" t="s">
        <v>1000</v>
      </c>
      <c r="B4" t="str">
        <f t="shared" si="0"/>
        <v>連結</v>
      </c>
      <c r="C4" s="344" t="str">
        <f t="shared" si="1"/>
        <v>L6082</v>
      </c>
      <c r="D4" t="s">
        <v>1482</v>
      </c>
      <c r="F4" t="str">
        <f t="shared" ref="F4:F34" si="2">MID(G4,FIND("L",G4),5)</f>
        <v>L6083</v>
      </c>
      <c r="G4" t="s">
        <v>2044</v>
      </c>
    </row>
    <row r="5" spans="1:7" x14ac:dyDescent="0.3">
      <c r="A5" s="277" t="s">
        <v>1003</v>
      </c>
      <c r="B5" t="e">
        <f t="shared" si="0"/>
        <v>#VALUE!</v>
      </c>
      <c r="C5" s="344" t="str">
        <f t="shared" si="1"/>
        <v>L6041</v>
      </c>
      <c r="D5" t="s">
        <v>1490</v>
      </c>
      <c r="F5" t="str">
        <f t="shared" si="2"/>
        <v>L6753</v>
      </c>
      <c r="G5" t="s">
        <v>2045</v>
      </c>
    </row>
    <row r="6" spans="1:7" x14ac:dyDescent="0.3">
      <c r="A6" s="277" t="s">
        <v>1005</v>
      </c>
      <c r="B6" t="e">
        <f t="shared" si="0"/>
        <v>#VALUE!</v>
      </c>
      <c r="C6" s="344" t="str">
        <f t="shared" si="1"/>
        <v>L5022</v>
      </c>
      <c r="D6" t="s">
        <v>1503</v>
      </c>
      <c r="F6" t="str">
        <f t="shared" si="2"/>
        <v>L6754</v>
      </c>
      <c r="G6" t="s">
        <v>2046</v>
      </c>
    </row>
    <row r="7" spans="1:7" x14ac:dyDescent="0.3">
      <c r="A7" s="277" t="s">
        <v>1007</v>
      </c>
      <c r="B7" t="e">
        <f t="shared" si="0"/>
        <v>#VALUE!</v>
      </c>
      <c r="C7" s="344" t="str">
        <f t="shared" si="1"/>
        <v>L6503</v>
      </c>
      <c r="D7" t="s">
        <v>1504</v>
      </c>
      <c r="F7" t="str">
        <f t="shared" si="2"/>
        <v>L1101</v>
      </c>
      <c r="G7" t="s">
        <v>2047</v>
      </c>
    </row>
    <row r="8" spans="1:7" x14ac:dyDescent="0.3">
      <c r="A8" s="277" t="s">
        <v>1015</v>
      </c>
      <c r="B8" t="e">
        <f t="shared" si="0"/>
        <v>#VALUE!</v>
      </c>
      <c r="C8" s="344" t="str">
        <f t="shared" si="1"/>
        <v>L5051</v>
      </c>
      <c r="D8" t="s">
        <v>1524</v>
      </c>
      <c r="F8" t="str">
        <f t="shared" si="2"/>
        <v>L1101</v>
      </c>
      <c r="G8" t="s">
        <v>2048</v>
      </c>
    </row>
    <row r="9" spans="1:7" x14ac:dyDescent="0.3">
      <c r="A9" s="277" t="s">
        <v>1009</v>
      </c>
      <c r="B9" t="e">
        <f t="shared" si="0"/>
        <v>#VALUE!</v>
      </c>
      <c r="C9" s="344" t="str">
        <f t="shared" si="1"/>
        <v>L5052</v>
      </c>
      <c r="D9" t="s">
        <v>1526</v>
      </c>
      <c r="F9" t="e">
        <f t="shared" si="2"/>
        <v>#VALUE!</v>
      </c>
      <c r="G9" t="s">
        <v>2049</v>
      </c>
    </row>
    <row r="10" spans="1:7" x14ac:dyDescent="0.3">
      <c r="A10" s="277" t="s">
        <v>1011</v>
      </c>
      <c r="B10" t="e">
        <f t="shared" si="0"/>
        <v>#VALUE!</v>
      </c>
      <c r="C10" s="344" t="str">
        <f t="shared" si="1"/>
        <v>L1001</v>
      </c>
      <c r="D10" t="s">
        <v>1533</v>
      </c>
      <c r="F10" t="str">
        <f t="shared" si="2"/>
        <v>L2111</v>
      </c>
      <c r="G10" t="s">
        <v>2050</v>
      </c>
    </row>
    <row r="11" spans="1:7" x14ac:dyDescent="0.3">
      <c r="A11" s="277" t="s">
        <v>1017</v>
      </c>
      <c r="B11" t="e">
        <f t="shared" si="0"/>
        <v>#VALUE!</v>
      </c>
      <c r="C11" s="344" t="str">
        <f t="shared" si="1"/>
        <v>L1109</v>
      </c>
      <c r="D11" t="s">
        <v>1545</v>
      </c>
      <c r="F11" t="str">
        <f t="shared" si="2"/>
        <v>L功能,待</v>
      </c>
      <c r="G11" t="s">
        <v>1512</v>
      </c>
    </row>
    <row r="12" spans="1:7" x14ac:dyDescent="0.3">
      <c r="A12" s="277" t="s">
        <v>1021</v>
      </c>
      <c r="B12" t="str">
        <f t="shared" si="0"/>
        <v>連結</v>
      </c>
      <c r="C12" s="344" t="str">
        <f t="shared" si="1"/>
        <v>L1105</v>
      </c>
      <c r="D12" t="s">
        <v>1546</v>
      </c>
      <c r="F12" t="e">
        <f t="shared" si="2"/>
        <v>#VALUE!</v>
      </c>
      <c r="G12" t="s">
        <v>1516</v>
      </c>
    </row>
    <row r="13" spans="1:7" x14ac:dyDescent="0.3">
      <c r="A13" s="277" t="s">
        <v>1033</v>
      </c>
      <c r="B13" t="e">
        <f t="shared" si="0"/>
        <v>#VALUE!</v>
      </c>
      <c r="C13" s="344" t="str">
        <f t="shared" si="1"/>
        <v>L1101</v>
      </c>
      <c r="D13" t="s">
        <v>1550</v>
      </c>
      <c r="F13" t="str">
        <f t="shared" si="2"/>
        <v>L2111</v>
      </c>
      <c r="G13" t="s">
        <v>2051</v>
      </c>
    </row>
    <row r="14" spans="1:7" x14ac:dyDescent="0.3">
      <c r="A14" s="277" t="s">
        <v>1037</v>
      </c>
      <c r="B14" t="e">
        <f t="shared" si="0"/>
        <v>#VALUE!</v>
      </c>
      <c r="C14" s="344" t="str">
        <f t="shared" si="1"/>
        <v>L1101</v>
      </c>
      <c r="D14" t="s">
        <v>1552</v>
      </c>
      <c r="F14" t="str">
        <f t="shared" si="2"/>
        <v>L5951</v>
      </c>
      <c r="G14" t="s">
        <v>2052</v>
      </c>
    </row>
    <row r="15" spans="1:7" x14ac:dyDescent="0.3">
      <c r="A15" s="277" t="s">
        <v>1039</v>
      </c>
      <c r="B15" t="e">
        <f t="shared" si="0"/>
        <v>#VALUE!</v>
      </c>
      <c r="C15" s="344" t="str">
        <f t="shared" si="1"/>
        <v>L1101</v>
      </c>
      <c r="D15" t="s">
        <v>1553</v>
      </c>
      <c r="F15" t="str">
        <f t="shared" si="2"/>
        <v>L5952</v>
      </c>
      <c r="G15" t="s">
        <v>2053</v>
      </c>
    </row>
    <row r="16" spans="1:7" x14ac:dyDescent="0.3">
      <c r="A16" s="277" t="s">
        <v>1025</v>
      </c>
      <c r="B16" t="e">
        <f t="shared" si="0"/>
        <v>#VALUE!</v>
      </c>
      <c r="C16" s="344" t="str">
        <f t="shared" si="1"/>
        <v>L2017</v>
      </c>
      <c r="D16" t="s">
        <v>1557</v>
      </c>
      <c r="F16" t="e">
        <f t="shared" si="2"/>
        <v>#VALUE!</v>
      </c>
      <c r="G16" t="s">
        <v>2054</v>
      </c>
    </row>
    <row r="17" spans="1:7" x14ac:dyDescent="0.3">
      <c r="A17" s="277" t="s">
        <v>1027</v>
      </c>
      <c r="B17" t="e">
        <f t="shared" si="0"/>
        <v>#VALUE!</v>
      </c>
      <c r="C17" s="344" t="str">
        <f t="shared" si="1"/>
        <v>L6608</v>
      </c>
      <c r="D17" t="s">
        <v>1563</v>
      </c>
      <c r="F17" t="str">
        <f t="shared" si="2"/>
        <v>L1105</v>
      </c>
      <c r="G17" t="s">
        <v>2055</v>
      </c>
    </row>
    <row r="18" spans="1:7" x14ac:dyDescent="0.3">
      <c r="A18" s="277" t="s">
        <v>1029</v>
      </c>
      <c r="B18" t="e">
        <f t="shared" si="0"/>
        <v>#VALUE!</v>
      </c>
      <c r="C18" s="344" t="str">
        <f t="shared" si="1"/>
        <v>LOAN於</v>
      </c>
      <c r="D18" t="s">
        <v>1567</v>
      </c>
      <c r="F18" t="e">
        <f t="shared" si="2"/>
        <v>#VALUE!</v>
      </c>
      <c r="G18" t="s">
        <v>2056</v>
      </c>
    </row>
    <row r="19" spans="1:7" x14ac:dyDescent="0.3">
      <c r="A19" s="277" t="s">
        <v>1066</v>
      </c>
      <c r="B19" t="e">
        <f t="shared" si="0"/>
        <v>#VALUE!</v>
      </c>
      <c r="C19" s="344" t="str">
        <f t="shared" si="1"/>
        <v>L1109</v>
      </c>
      <c r="D19" t="s">
        <v>1573</v>
      </c>
      <c r="F19" t="str">
        <f t="shared" si="2"/>
        <v>LOAN作</v>
      </c>
      <c r="G19" t="s">
        <v>2057</v>
      </c>
    </row>
    <row r="20" spans="1:7" x14ac:dyDescent="0.3">
      <c r="A20" s="277" t="s">
        <v>312</v>
      </c>
      <c r="B20" t="str">
        <f t="shared" si="0"/>
        <v>連結</v>
      </c>
      <c r="C20" s="344" t="str">
        <f t="shared" si="1"/>
        <v>L1105</v>
      </c>
      <c r="D20" t="s">
        <v>1575</v>
      </c>
      <c r="F20" t="str">
        <f t="shared" si="2"/>
        <v>L2801</v>
      </c>
      <c r="G20" t="s">
        <v>2058</v>
      </c>
    </row>
    <row r="21" spans="1:7" x14ac:dyDescent="0.3">
      <c r="A21" s="277" t="s">
        <v>1430</v>
      </c>
      <c r="B21" t="e">
        <f t="shared" si="0"/>
        <v>#VALUE!</v>
      </c>
      <c r="C21" s="344" t="str">
        <f t="shared" si="1"/>
        <v>L1102</v>
      </c>
      <c r="D21" t="s">
        <v>1576</v>
      </c>
      <c r="F21" t="str">
        <f t="shared" si="2"/>
        <v>LOAN亦</v>
      </c>
      <c r="G21" t="s">
        <v>2059</v>
      </c>
    </row>
    <row r="22" spans="1:7" x14ac:dyDescent="0.3">
      <c r="A22" s="277" t="s">
        <v>1433</v>
      </c>
      <c r="B22" t="e">
        <f t="shared" si="0"/>
        <v>#VALUE!</v>
      </c>
      <c r="C22" s="344" t="str">
        <f t="shared" si="1"/>
        <v>L1102</v>
      </c>
      <c r="D22" t="s">
        <v>1577</v>
      </c>
      <c r="F22" t="str">
        <f t="shared" si="2"/>
        <v>L範例</v>
      </c>
      <c r="G22" t="s">
        <v>2060</v>
      </c>
    </row>
    <row r="23" spans="1:7" x14ac:dyDescent="0.3">
      <c r="A23" s="277" t="s">
        <v>1527</v>
      </c>
      <c r="B23" t="e">
        <f t="shared" si="0"/>
        <v>#VALUE!</v>
      </c>
      <c r="C23" s="344" t="str">
        <f t="shared" si="1"/>
        <v>L1102</v>
      </c>
      <c r="D23" t="s">
        <v>1578</v>
      </c>
      <c r="F23" t="e">
        <f t="shared" si="2"/>
        <v>#VALUE!</v>
      </c>
      <c r="G23" t="s">
        <v>2061</v>
      </c>
    </row>
    <row r="24" spans="1:7" x14ac:dyDescent="0.3">
      <c r="A24" s="277" t="s">
        <v>1531</v>
      </c>
      <c r="B24" t="e">
        <f t="shared" si="0"/>
        <v>#VALUE!</v>
      </c>
      <c r="C24" s="344" t="str">
        <f t="shared" si="1"/>
        <v>L2306</v>
      </c>
      <c r="D24" t="s">
        <v>1580</v>
      </c>
      <c r="F24" t="str">
        <f t="shared" si="2"/>
        <v>L2801</v>
      </c>
      <c r="G24" t="s">
        <v>2062</v>
      </c>
    </row>
    <row r="25" spans="1:7" x14ac:dyDescent="0.3">
      <c r="A25" s="277" t="s">
        <v>120</v>
      </c>
      <c r="B25" t="e">
        <f t="shared" si="0"/>
        <v>#VALUE!</v>
      </c>
      <c r="C25" s="344" t="str">
        <f t="shared" si="1"/>
        <v>L2306</v>
      </c>
      <c r="D25" t="s">
        <v>1581</v>
      </c>
      <c r="F25" t="e">
        <f t="shared" si="2"/>
        <v>#VALUE!</v>
      </c>
      <c r="G25" t="s">
        <v>2063</v>
      </c>
    </row>
    <row r="26" spans="1:7" x14ac:dyDescent="0.3">
      <c r="A26" s="277" t="s">
        <v>126</v>
      </c>
      <c r="B26" t="e">
        <f t="shared" si="0"/>
        <v>#VALUE!</v>
      </c>
      <c r="C26" s="344" t="str">
        <f t="shared" si="1"/>
        <v>L2306</v>
      </c>
      <c r="D26" t="s">
        <v>1582</v>
      </c>
      <c r="F26" t="str">
        <f t="shared" si="2"/>
        <v>L1105</v>
      </c>
      <c r="G26" t="s">
        <v>2064</v>
      </c>
    </row>
    <row r="27" spans="1:7" x14ac:dyDescent="0.3">
      <c r="A27" s="277" t="s">
        <v>133</v>
      </c>
      <c r="B27" t="e">
        <f t="shared" si="0"/>
        <v>#VALUE!</v>
      </c>
      <c r="C27" s="344" t="str">
        <f t="shared" si="1"/>
        <v>L2153</v>
      </c>
      <c r="D27" t="s">
        <v>1597</v>
      </c>
      <c r="F27" t="e">
        <f t="shared" si="2"/>
        <v>#VALUE!</v>
      </c>
      <c r="G27" t="s">
        <v>2065</v>
      </c>
    </row>
    <row r="28" spans="1:7" x14ac:dyDescent="0.3">
      <c r="A28" s="277" t="s">
        <v>150</v>
      </c>
      <c r="B28" t="str">
        <f t="shared" si="0"/>
        <v>連結</v>
      </c>
      <c r="C28" s="344" t="str">
        <f t="shared" si="1"/>
        <v>L2151</v>
      </c>
      <c r="D28" t="s">
        <v>1600</v>
      </c>
      <c r="F28" t="e">
        <f t="shared" si="2"/>
        <v>#VALUE!</v>
      </c>
      <c r="G28" t="s">
        <v>2066</v>
      </c>
    </row>
    <row r="29" spans="1:7" x14ac:dyDescent="0.3">
      <c r="A29" s="277" t="s">
        <v>270</v>
      </c>
      <c r="B29" t="e">
        <f t="shared" si="0"/>
        <v>#VALUE!</v>
      </c>
      <c r="C29" s="344" t="str">
        <f t="shared" si="1"/>
        <v>LOAN作</v>
      </c>
      <c r="D29" t="s">
        <v>1602</v>
      </c>
      <c r="F29" t="e">
        <f t="shared" si="2"/>
        <v>#VALUE!</v>
      </c>
      <c r="G29" t="s">
        <v>2067</v>
      </c>
    </row>
    <row r="30" spans="1:7" x14ac:dyDescent="0.3">
      <c r="A30" s="277" t="s">
        <v>152</v>
      </c>
      <c r="B30" t="e">
        <f t="shared" si="0"/>
        <v>#VALUE!</v>
      </c>
      <c r="C30" s="344" t="str">
        <f t="shared" si="1"/>
        <v>LOAN規</v>
      </c>
      <c r="D30" t="s">
        <v>1605</v>
      </c>
      <c r="F30" t="e">
        <f t="shared" si="2"/>
        <v>#VALUE!</v>
      </c>
      <c r="G30" t="s">
        <v>2068</v>
      </c>
    </row>
    <row r="31" spans="1:7" x14ac:dyDescent="0.3">
      <c r="A31" s="277" t="s">
        <v>156</v>
      </c>
      <c r="B31" t="e">
        <f t="shared" si="0"/>
        <v>#VALUE!</v>
      </c>
      <c r="C31" s="344" t="str">
        <f t="shared" si="1"/>
        <v>L2111</v>
      </c>
      <c r="D31" t="s">
        <v>1608</v>
      </c>
      <c r="F31" t="e">
        <f t="shared" si="2"/>
        <v>#VALUE!</v>
      </c>
      <c r="G31" t="s">
        <v>2069</v>
      </c>
    </row>
    <row r="32" spans="1:7" x14ac:dyDescent="0.3">
      <c r="A32" s="277" t="s">
        <v>161</v>
      </c>
      <c r="B32" t="e">
        <f t="shared" si="0"/>
        <v>#VALUE!</v>
      </c>
      <c r="C32" s="344" t="str">
        <f t="shared" si="1"/>
        <v>L2101</v>
      </c>
      <c r="D32" t="s">
        <v>1614</v>
      </c>
      <c r="F32" t="str">
        <f t="shared" si="2"/>
        <v>L5500</v>
      </c>
      <c r="G32" t="s">
        <v>2070</v>
      </c>
    </row>
    <row r="33" spans="1:7" x14ac:dyDescent="0.3">
      <c r="A33" s="277" t="s">
        <v>130</v>
      </c>
      <c r="B33" t="e">
        <f t="shared" si="0"/>
        <v>#VALUE!</v>
      </c>
      <c r="C33" s="344" t="str">
        <f t="shared" si="1"/>
        <v>L3701</v>
      </c>
      <c r="D33" t="s">
        <v>1621</v>
      </c>
      <c r="F33" t="e">
        <f t="shared" si="2"/>
        <v>#VALUE!</v>
      </c>
      <c r="G33" t="s">
        <v>2071</v>
      </c>
    </row>
    <row r="34" spans="1:7" x14ac:dyDescent="0.3">
      <c r="A34" s="277" t="s">
        <v>137</v>
      </c>
      <c r="B34" t="e">
        <f t="shared" si="0"/>
        <v>#VALUE!</v>
      </c>
      <c r="C34" s="344" t="str">
        <f t="shared" si="1"/>
        <v>L3701</v>
      </c>
      <c r="D34" t="s">
        <v>1627</v>
      </c>
      <c r="F34" t="str">
        <f t="shared" si="2"/>
        <v>L2111</v>
      </c>
      <c r="G34" t="s">
        <v>2072</v>
      </c>
    </row>
    <row r="35" spans="1:7" x14ac:dyDescent="0.3">
      <c r="A35" s="277" t="s">
        <v>1404</v>
      </c>
      <c r="B35" t="e">
        <f t="shared" ref="B35:B66" si="3">IF(FIND("連結",D35)&gt;0,"連結",FIND("連結",D35))</f>
        <v>#VALUE!</v>
      </c>
      <c r="C35" s="344" t="str">
        <f t="shared" ref="C35:C66" si="4">MID(D35,FIND("L",D35),5)</f>
        <v>L通知
(</v>
      </c>
      <c r="D35" t="s">
        <v>1634</v>
      </c>
      <c r="F35" t="str">
        <f t="shared" ref="F35:F66" si="5">MID(G35,FIND("L",G35),5)</f>
        <v>L3701</v>
      </c>
      <c r="G35" t="s">
        <v>2073</v>
      </c>
    </row>
    <row r="36" spans="1:7" x14ac:dyDescent="0.3">
      <c r="A36" s="277" t="s">
        <v>1583</v>
      </c>
      <c r="B36" t="e">
        <f t="shared" si="3"/>
        <v>#VALUE!</v>
      </c>
      <c r="C36" s="344" t="str">
        <f t="shared" si="4"/>
        <v>L2801</v>
      </c>
      <c r="D36" t="s">
        <v>1640</v>
      </c>
      <c r="F36" t="str">
        <f t="shared" si="5"/>
        <v>L2154</v>
      </c>
      <c r="G36" t="s">
        <v>2074</v>
      </c>
    </row>
    <row r="37" spans="1:7" x14ac:dyDescent="0.3">
      <c r="A37" s="277" t="s">
        <v>832</v>
      </c>
      <c r="B37" t="e">
        <f t="shared" si="3"/>
        <v>#VALUE!</v>
      </c>
      <c r="C37" s="344" t="str">
        <f t="shared" si="4"/>
        <v>L1101</v>
      </c>
      <c r="D37" t="s">
        <v>1648</v>
      </c>
      <c r="F37" t="str">
        <f t="shared" si="5"/>
        <v>L2111</v>
      </c>
      <c r="G37" t="s">
        <v>2075</v>
      </c>
    </row>
    <row r="38" spans="1:7" x14ac:dyDescent="0.3">
      <c r="A38" s="277" t="s">
        <v>834</v>
      </c>
      <c r="B38" t="str">
        <f t="shared" si="3"/>
        <v>連結</v>
      </c>
      <c r="C38" s="344" t="str">
        <f t="shared" si="4"/>
        <v>LOAN共</v>
      </c>
      <c r="D38" t="s">
        <v>1652</v>
      </c>
      <c r="F38" t="str">
        <f t="shared" si="5"/>
        <v>L2221</v>
      </c>
      <c r="G38" t="s">
        <v>2076</v>
      </c>
    </row>
    <row r="39" spans="1:7" x14ac:dyDescent="0.3">
      <c r="A39" s="277" t="s">
        <v>185</v>
      </c>
      <c r="B39" t="e">
        <f t="shared" si="3"/>
        <v>#VALUE!</v>
      </c>
      <c r="C39" s="344" t="str">
        <f t="shared" si="4"/>
        <v>LOAN現</v>
      </c>
      <c r="D39" t="s">
        <v>1653</v>
      </c>
      <c r="F39" t="str">
        <f t="shared" si="5"/>
        <v>L表,供整</v>
      </c>
      <c r="G39" t="s">
        <v>2077</v>
      </c>
    </row>
    <row r="40" spans="1:7" x14ac:dyDescent="0.3">
      <c r="A40" s="277" t="s">
        <v>187</v>
      </c>
      <c r="B40" t="e">
        <f t="shared" si="3"/>
        <v>#VALUE!</v>
      </c>
      <c r="C40" s="344" t="str">
        <f t="shared" si="4"/>
        <v>LOAN規</v>
      </c>
      <c r="D40" t="s">
        <v>1655</v>
      </c>
      <c r="F40" t="e">
        <f t="shared" si="5"/>
        <v>#VALUE!</v>
      </c>
      <c r="G40" t="s">
        <v>2078</v>
      </c>
    </row>
    <row r="41" spans="1:7" x14ac:dyDescent="0.3">
      <c r="A41" s="277" t="s">
        <v>191</v>
      </c>
      <c r="B41" t="e">
        <f t="shared" si="3"/>
        <v>#VALUE!</v>
      </c>
      <c r="C41" s="344" t="str">
        <f t="shared" si="4"/>
        <v>LOAN於</v>
      </c>
      <c r="D41" t="s">
        <v>1656</v>
      </c>
      <c r="F41" t="e">
        <f t="shared" si="5"/>
        <v>#VALUE!</v>
      </c>
      <c r="G41" t="s">
        <v>2079</v>
      </c>
    </row>
    <row r="42" spans="1:7" x14ac:dyDescent="0.3">
      <c r="A42" s="277" t="s">
        <v>193</v>
      </c>
      <c r="B42" t="e">
        <f t="shared" si="3"/>
        <v>#VALUE!</v>
      </c>
      <c r="C42" s="344" t="str">
        <f t="shared" si="4"/>
        <v>L表[整批</v>
      </c>
      <c r="D42" t="s">
        <v>1659</v>
      </c>
      <c r="F42" t="str">
        <f t="shared" si="5"/>
        <v>L2038</v>
      </c>
      <c r="G42" t="s">
        <v>2080</v>
      </c>
    </row>
    <row r="43" spans="1:7" x14ac:dyDescent="0.3">
      <c r="A43" s="277" t="s">
        <v>198</v>
      </c>
      <c r="B43" t="e">
        <f t="shared" si="3"/>
        <v>#VALUE!</v>
      </c>
      <c r="C43" s="344" t="str">
        <f t="shared" si="4"/>
        <v>LOAN輸</v>
      </c>
      <c r="D43" t="s">
        <v>1661</v>
      </c>
      <c r="F43" t="str">
        <f t="shared" si="5"/>
        <v>L2221</v>
      </c>
      <c r="G43" t="s">
        <v>2081</v>
      </c>
    </row>
    <row r="44" spans="1:7" x14ac:dyDescent="0.3">
      <c r="A44" s="277" t="s">
        <v>201</v>
      </c>
      <c r="B44" t="str">
        <f t="shared" si="3"/>
        <v>連結</v>
      </c>
      <c r="C44" s="344" t="str">
        <f t="shared" si="4"/>
        <v>L4610</v>
      </c>
      <c r="D44" t="s">
        <v>1666</v>
      </c>
      <c r="F44" t="e">
        <f t="shared" si="5"/>
        <v>#VALUE!</v>
      </c>
      <c r="G44" t="s">
        <v>2082</v>
      </c>
    </row>
    <row r="45" spans="1:7" x14ac:dyDescent="0.3">
      <c r="A45" s="277" t="s">
        <v>204</v>
      </c>
      <c r="B45" t="str">
        <f t="shared" si="3"/>
        <v>連結</v>
      </c>
      <c r="C45" s="344" t="str">
        <f t="shared" si="4"/>
        <v>L4060</v>
      </c>
      <c r="D45" t="s">
        <v>1669</v>
      </c>
      <c r="F45" t="e">
        <f t="shared" si="5"/>
        <v>#VALUE!</v>
      </c>
      <c r="G45" t="s">
        <v>2083</v>
      </c>
    </row>
    <row r="46" spans="1:7" x14ac:dyDescent="0.3">
      <c r="A46" s="277" t="s">
        <v>207</v>
      </c>
      <c r="B46" t="e">
        <f t="shared" si="3"/>
        <v>#VALUE!</v>
      </c>
      <c r="C46" s="344" t="str">
        <f t="shared" si="4"/>
        <v>L2911</v>
      </c>
      <c r="D46" t="s">
        <v>1670</v>
      </c>
      <c r="F46" t="e">
        <f t="shared" si="5"/>
        <v>#VALUE!</v>
      </c>
      <c r="G46" t="s">
        <v>2084</v>
      </c>
    </row>
    <row r="47" spans="1:7" x14ac:dyDescent="0.3">
      <c r="A47" s="277" t="s">
        <v>1393</v>
      </c>
      <c r="B47" t="e">
        <f t="shared" si="3"/>
        <v>#VALUE!</v>
      </c>
      <c r="C47" s="344" t="str">
        <f t="shared" si="4"/>
        <v>L2911</v>
      </c>
      <c r="D47" t="s">
        <v>1671</v>
      </c>
      <c r="F47" t="e">
        <f t="shared" si="5"/>
        <v>#VALUE!</v>
      </c>
      <c r="G47" t="s">
        <v>2085</v>
      </c>
    </row>
    <row r="48" spans="1:7" x14ac:dyDescent="0.3">
      <c r="A48" s="277" t="s">
        <v>222</v>
      </c>
      <c r="B48" t="e">
        <f t="shared" si="3"/>
        <v>#VALUE!</v>
      </c>
      <c r="C48" s="344" t="str">
        <f t="shared" si="4"/>
        <v>L1101</v>
      </c>
      <c r="D48" t="s">
        <v>1672</v>
      </c>
      <c r="F48" t="e">
        <f t="shared" si="5"/>
        <v>#VALUE!</v>
      </c>
      <c r="G48" t="s">
        <v>2086</v>
      </c>
    </row>
    <row r="49" spans="1:7" x14ac:dyDescent="0.3">
      <c r="A49" s="277" t="s">
        <v>224</v>
      </c>
      <c r="B49" t="e">
        <f t="shared" si="3"/>
        <v>#VALUE!</v>
      </c>
      <c r="C49" s="344" t="str">
        <f t="shared" si="4"/>
        <v>LOAN輸</v>
      </c>
      <c r="D49" t="s">
        <v>1674</v>
      </c>
      <c r="F49" t="e">
        <f t="shared" si="5"/>
        <v>#VALUE!</v>
      </c>
      <c r="G49" t="s">
        <v>2087</v>
      </c>
    </row>
    <row r="50" spans="1:7" x14ac:dyDescent="0.3">
      <c r="A50" s="277" t="s">
        <v>227</v>
      </c>
      <c r="B50" t="str">
        <f t="shared" si="3"/>
        <v>連結</v>
      </c>
      <c r="C50" s="344" t="str">
        <f t="shared" si="4"/>
        <v>L4610</v>
      </c>
      <c r="D50" t="s">
        <v>1675</v>
      </c>
      <c r="F50" t="e">
        <f t="shared" si="5"/>
        <v>#VALUE!</v>
      </c>
      <c r="G50" t="s">
        <v>2088</v>
      </c>
    </row>
    <row r="51" spans="1:7" x14ac:dyDescent="0.3">
      <c r="A51" s="277" t="s">
        <v>210</v>
      </c>
      <c r="B51" t="e">
        <f t="shared" si="3"/>
        <v>#VALUE!</v>
      </c>
      <c r="C51" s="344" t="str">
        <f t="shared" si="4"/>
        <v>L2017</v>
      </c>
      <c r="D51" t="s">
        <v>1676</v>
      </c>
      <c r="F51" t="str">
        <f t="shared" si="5"/>
        <v>L3005</v>
      </c>
      <c r="G51" t="s">
        <v>2089</v>
      </c>
    </row>
    <row r="52" spans="1:7" x14ac:dyDescent="0.3">
      <c r="A52" s="277" t="s">
        <v>214</v>
      </c>
      <c r="B52" t="e">
        <f t="shared" si="3"/>
        <v>#VALUE!</v>
      </c>
      <c r="C52" s="344" t="str">
        <f t="shared" si="4"/>
        <v>L2038</v>
      </c>
      <c r="D52" t="s">
        <v>1677</v>
      </c>
      <c r="F52" t="e">
        <f t="shared" si="5"/>
        <v>#VALUE!</v>
      </c>
      <c r="G52" t="s">
        <v>2090</v>
      </c>
    </row>
    <row r="53" spans="1:7" x14ac:dyDescent="0.3">
      <c r="A53" s="277" t="s">
        <v>216</v>
      </c>
      <c r="B53" t="e">
        <f t="shared" si="3"/>
        <v>#VALUE!</v>
      </c>
      <c r="C53" s="344" t="str">
        <f t="shared" si="4"/>
        <v>L2038</v>
      </c>
      <c r="D53" t="s">
        <v>1677</v>
      </c>
      <c r="F53" t="str">
        <f t="shared" si="5"/>
        <v>L3220</v>
      </c>
      <c r="G53" t="s">
        <v>2091</v>
      </c>
    </row>
    <row r="54" spans="1:7" x14ac:dyDescent="0.3">
      <c r="A54" s="277" t="s">
        <v>244</v>
      </c>
      <c r="B54" t="e">
        <f t="shared" si="3"/>
        <v>#VALUE!</v>
      </c>
      <c r="C54" s="344" t="str">
        <f t="shared" si="4"/>
        <v>L2038</v>
      </c>
      <c r="D54" t="s">
        <v>1678</v>
      </c>
      <c r="F54" t="e">
        <f t="shared" si="5"/>
        <v>#VALUE!</v>
      </c>
      <c r="G54" t="s">
        <v>2092</v>
      </c>
    </row>
    <row r="55" spans="1:7" x14ac:dyDescent="0.3">
      <c r="A55" s="277" t="s">
        <v>247</v>
      </c>
      <c r="B55" t="e">
        <f t="shared" si="3"/>
        <v>#VALUE!</v>
      </c>
      <c r="C55" s="344" t="str">
        <f t="shared" si="4"/>
        <v>L2035</v>
      </c>
      <c r="D55" t="s">
        <v>1685</v>
      </c>
      <c r="F55" t="e">
        <f t="shared" si="5"/>
        <v>#VALUE!</v>
      </c>
      <c r="G55" t="s">
        <v>2093</v>
      </c>
    </row>
    <row r="56" spans="1:7" x14ac:dyDescent="0.3">
      <c r="A56" s="277" t="s">
        <v>249</v>
      </c>
      <c r="B56" t="e">
        <f t="shared" si="3"/>
        <v>#VALUE!</v>
      </c>
      <c r="C56" s="344" t="str">
        <f t="shared" si="4"/>
        <v>L給案件承</v>
      </c>
      <c r="D56" t="s">
        <v>1690</v>
      </c>
      <c r="F56" t="e">
        <f t="shared" si="5"/>
        <v>#VALUE!</v>
      </c>
      <c r="G56" t="s">
        <v>2094</v>
      </c>
    </row>
    <row r="57" spans="1:7" x14ac:dyDescent="0.3">
      <c r="A57" s="277" t="s">
        <v>257</v>
      </c>
      <c r="B57" t="str">
        <f t="shared" si="3"/>
        <v>連結</v>
      </c>
      <c r="C57" s="344" t="str">
        <f t="shared" si="4"/>
        <v>L2072</v>
      </c>
      <c r="D57" t="s">
        <v>1694</v>
      </c>
      <c r="F57" t="e">
        <f t="shared" si="5"/>
        <v>#VALUE!</v>
      </c>
      <c r="G57" t="s">
        <v>2095</v>
      </c>
    </row>
    <row r="58" spans="1:7" x14ac:dyDescent="0.3">
      <c r="A58" s="277" t="s">
        <v>254</v>
      </c>
      <c r="B58" t="e">
        <f t="shared" si="3"/>
        <v>#VALUE!</v>
      </c>
      <c r="C58" s="344" t="str">
        <f t="shared" si="4"/>
        <v>L6402</v>
      </c>
      <c r="D58" t="s">
        <v>1696</v>
      </c>
      <c r="F58" t="e">
        <f t="shared" si="5"/>
        <v>#VALUE!</v>
      </c>
      <c r="G58" t="s">
        <v>2096</v>
      </c>
    </row>
    <row r="59" spans="1:7" x14ac:dyDescent="0.3">
      <c r="A59" s="277" t="s">
        <v>1415</v>
      </c>
      <c r="B59" t="e">
        <f t="shared" si="3"/>
        <v>#VALUE!</v>
      </c>
      <c r="C59" s="344" t="str">
        <f t="shared" si="4"/>
        <v>L1905</v>
      </c>
      <c r="D59" t="s">
        <v>1701</v>
      </c>
      <c r="F59" t="str">
        <f t="shared" si="5"/>
        <v>L5075</v>
      </c>
      <c r="G59" t="s">
        <v>2097</v>
      </c>
    </row>
    <row r="60" spans="1:7" x14ac:dyDescent="0.3">
      <c r="A60" s="277" t="s">
        <v>1418</v>
      </c>
      <c r="B60" t="e">
        <f t="shared" si="3"/>
        <v>#VALUE!</v>
      </c>
      <c r="C60" s="344" t="e">
        <f t="shared" si="4"/>
        <v>#VALUE!</v>
      </c>
      <c r="D60" t="s">
        <v>1718</v>
      </c>
      <c r="F60" t="str">
        <f t="shared" si="5"/>
        <v>L597A</v>
      </c>
      <c r="G60" t="s">
        <v>2098</v>
      </c>
    </row>
    <row r="61" spans="1:7" x14ac:dyDescent="0.3">
      <c r="A61" s="277" t="s">
        <v>274</v>
      </c>
      <c r="B61" t="e">
        <f t="shared" si="3"/>
        <v>#VALUE!</v>
      </c>
      <c r="C61" s="344" t="str">
        <f t="shared" si="4"/>
        <v>L2154</v>
      </c>
      <c r="D61" t="s">
        <v>1719</v>
      </c>
      <c r="F61" t="e">
        <f t="shared" si="5"/>
        <v>#VALUE!</v>
      </c>
      <c r="G61" t="s">
        <v>2099</v>
      </c>
    </row>
    <row r="62" spans="1:7" x14ac:dyDescent="0.3">
      <c r="A62" s="277" t="s">
        <v>1423</v>
      </c>
      <c r="B62" t="e">
        <f t="shared" si="3"/>
        <v>#VALUE!</v>
      </c>
      <c r="C62" s="344" t="str">
        <f t="shared" si="4"/>
        <v>L檢核結果</v>
      </c>
      <c r="D62" t="s">
        <v>1727</v>
      </c>
      <c r="F62" t="str">
        <f t="shared" si="5"/>
        <v>L6605</v>
      </c>
      <c r="G62" t="s">
        <v>2100</v>
      </c>
    </row>
    <row r="63" spans="1:7" x14ac:dyDescent="0.3">
      <c r="A63" s="277" t="s">
        <v>1426</v>
      </c>
      <c r="B63" t="e">
        <f t="shared" si="3"/>
        <v>#VALUE!</v>
      </c>
      <c r="C63" s="344" t="str">
        <f t="shared" si="4"/>
        <v>L3100</v>
      </c>
      <c r="D63" t="s">
        <v>1729</v>
      </c>
      <c r="F63" t="e">
        <f t="shared" si="5"/>
        <v>#VALUE!</v>
      </c>
      <c r="G63" t="s">
        <v>2101</v>
      </c>
    </row>
    <row r="64" spans="1:7" x14ac:dyDescent="0.3">
      <c r="A64" s="277" t="s">
        <v>1428</v>
      </c>
      <c r="B64" t="e">
        <f t="shared" si="3"/>
        <v>#VALUE!</v>
      </c>
      <c r="C64" s="344" t="str">
        <f t="shared" si="4"/>
        <v>L2060</v>
      </c>
      <c r="D64" t="s">
        <v>1735</v>
      </c>
      <c r="F64" t="str">
        <f t="shared" si="5"/>
        <v>L4703</v>
      </c>
      <c r="G64" t="s">
        <v>2102</v>
      </c>
    </row>
    <row r="65" spans="1:7" x14ac:dyDescent="0.3">
      <c r="A65" s="277" t="s">
        <v>1420</v>
      </c>
      <c r="B65" t="e">
        <f t="shared" si="3"/>
        <v>#VALUE!</v>
      </c>
      <c r="C65" s="344" t="str">
        <f t="shared" si="4"/>
        <v>L2600</v>
      </c>
      <c r="D65" t="s">
        <v>1737</v>
      </c>
      <c r="F65" t="str">
        <f t="shared" si="5"/>
        <v>L4454</v>
      </c>
      <c r="G65" t="s">
        <v>2103</v>
      </c>
    </row>
    <row r="66" spans="1:7" x14ac:dyDescent="0.3">
      <c r="A66" s="277" t="s">
        <v>278</v>
      </c>
      <c r="B66" t="e">
        <f t="shared" si="3"/>
        <v>#VALUE!</v>
      </c>
      <c r="C66" s="344" t="str">
        <f t="shared" si="4"/>
        <v>L3600</v>
      </c>
      <c r="D66" t="s">
        <v>1738</v>
      </c>
      <c r="F66" t="str">
        <f t="shared" si="5"/>
        <v>L3731</v>
      </c>
      <c r="G66" t="s">
        <v>2104</v>
      </c>
    </row>
    <row r="67" spans="1:7" x14ac:dyDescent="0.3">
      <c r="A67" s="277" t="s">
        <v>281</v>
      </c>
      <c r="B67" t="e">
        <f t="shared" ref="B67:B98" si="6">IF(FIND("連結",D67)&gt;0,"連結",FIND("連結",D67))</f>
        <v>#VALUE!</v>
      </c>
      <c r="C67" s="344" t="str">
        <f t="shared" ref="C67:C98" si="7">MID(D67,FIND("L",D67),5)</f>
        <v>L3600</v>
      </c>
      <c r="D67" t="s">
        <v>1739</v>
      </c>
      <c r="F67" t="str">
        <f t="shared" ref="F67:F88" si="8">MID(G67,FIND("L",G67),5)</f>
        <v>L4605</v>
      </c>
      <c r="G67" t="s">
        <v>2105</v>
      </c>
    </row>
    <row r="68" spans="1:7" x14ac:dyDescent="0.3">
      <c r="A68" s="277" t="s">
        <v>283</v>
      </c>
      <c r="B68" t="e">
        <f t="shared" si="6"/>
        <v>#VALUE!</v>
      </c>
      <c r="C68" s="344" t="str">
        <f t="shared" si="7"/>
        <v>L3600</v>
      </c>
      <c r="D68" t="s">
        <v>1740</v>
      </c>
      <c r="F68" t="e">
        <f t="shared" si="8"/>
        <v>#VALUE!</v>
      </c>
      <c r="G68" t="s">
        <v>2106</v>
      </c>
    </row>
    <row r="69" spans="1:7" x14ac:dyDescent="0.3">
      <c r="A69" s="277" t="s">
        <v>287</v>
      </c>
      <c r="B69" t="e">
        <f t="shared" si="6"/>
        <v>#VALUE!</v>
      </c>
      <c r="C69" s="344" t="str">
        <f t="shared" si="7"/>
        <v>L4042</v>
      </c>
      <c r="D69" t="s">
        <v>1742</v>
      </c>
      <c r="F69" t="e">
        <f t="shared" si="8"/>
        <v>#VALUE!</v>
      </c>
      <c r="G69" t="s">
        <v>2107</v>
      </c>
    </row>
    <row r="70" spans="1:7" x14ac:dyDescent="0.3">
      <c r="A70" s="277" t="s">
        <v>291</v>
      </c>
      <c r="B70" t="str">
        <f t="shared" si="6"/>
        <v>連結</v>
      </c>
      <c r="C70" s="344" t="str">
        <f t="shared" si="7"/>
        <v>L3943</v>
      </c>
      <c r="D70" t="s">
        <v>1761</v>
      </c>
      <c r="F70" t="e">
        <f t="shared" si="8"/>
        <v>#VALUE!</v>
      </c>
      <c r="G70" t="s">
        <v>2108</v>
      </c>
    </row>
    <row r="71" spans="1:7" x14ac:dyDescent="0.3">
      <c r="A71" s="277" t="s">
        <v>298</v>
      </c>
      <c r="B71" t="e">
        <f t="shared" si="6"/>
        <v>#VALUE!</v>
      </c>
      <c r="C71" s="344" t="str">
        <f t="shared" si="7"/>
        <v>L3007</v>
      </c>
      <c r="D71" t="s">
        <v>1762</v>
      </c>
      <c r="F71" t="e">
        <f t="shared" si="8"/>
        <v>#VALUE!</v>
      </c>
      <c r="G71" t="s">
        <v>2109</v>
      </c>
    </row>
    <row r="72" spans="1:7" x14ac:dyDescent="0.3">
      <c r="A72" s="277" t="s">
        <v>316</v>
      </c>
      <c r="B72" t="str">
        <f t="shared" si="6"/>
        <v>連結</v>
      </c>
      <c r="C72" s="344" t="str">
        <f t="shared" si="7"/>
        <v>L3943</v>
      </c>
      <c r="D72" t="s">
        <v>1761</v>
      </c>
      <c r="F72" t="e">
        <f t="shared" si="8"/>
        <v>#VALUE!</v>
      </c>
      <c r="G72" t="s">
        <v>2110</v>
      </c>
    </row>
    <row r="73" spans="1:7" x14ac:dyDescent="0.3">
      <c r="A73" s="277" t="s">
        <v>319</v>
      </c>
      <c r="B73" t="str">
        <f t="shared" si="6"/>
        <v>連結</v>
      </c>
      <c r="C73" s="344" t="str">
        <f t="shared" si="7"/>
        <v>L2061</v>
      </c>
      <c r="D73" t="s">
        <v>1764</v>
      </c>
      <c r="F73" t="str">
        <f t="shared" si="8"/>
        <v>L4030</v>
      </c>
      <c r="G73" t="s">
        <v>2111</v>
      </c>
    </row>
    <row r="74" spans="1:7" x14ac:dyDescent="0.3">
      <c r="A74" s="277" t="s">
        <v>355</v>
      </c>
      <c r="B74" t="str">
        <f t="shared" si="6"/>
        <v>連結</v>
      </c>
      <c r="C74" s="344" t="str">
        <f t="shared" si="7"/>
        <v>L4943</v>
      </c>
      <c r="D74" t="s">
        <v>1765</v>
      </c>
      <c r="F74" t="str">
        <f t="shared" si="8"/>
        <v>L6042</v>
      </c>
      <c r="G74" t="s">
        <v>2112</v>
      </c>
    </row>
    <row r="75" spans="1:7" x14ac:dyDescent="0.3">
      <c r="A75" s="277" t="s">
        <v>905</v>
      </c>
      <c r="B75" t="e">
        <f t="shared" si="6"/>
        <v>#VALUE!</v>
      </c>
      <c r="C75" s="344" t="e">
        <f t="shared" si="7"/>
        <v>#VALUE!</v>
      </c>
      <c r="D75" t="s">
        <v>1781</v>
      </c>
      <c r="F75" t="str">
        <f t="shared" si="8"/>
        <v>L1905</v>
      </c>
      <c r="G75" t="s">
        <v>2113</v>
      </c>
    </row>
    <row r="76" spans="1:7" x14ac:dyDescent="0.3">
      <c r="A76" s="277" t="s">
        <v>306</v>
      </c>
      <c r="B76" t="e">
        <f t="shared" si="6"/>
        <v>#VALUE!</v>
      </c>
      <c r="C76" s="344" t="e">
        <f t="shared" si="7"/>
        <v>#VALUE!</v>
      </c>
      <c r="D76" t="s">
        <v>1783</v>
      </c>
      <c r="F76" t="e">
        <f t="shared" si="8"/>
        <v>#VALUE!</v>
      </c>
      <c r="G76" t="s">
        <v>2114</v>
      </c>
    </row>
    <row r="77" spans="1:7" x14ac:dyDescent="0.3">
      <c r="A77" s="277" t="s">
        <v>310</v>
      </c>
      <c r="B77" t="e">
        <f t="shared" si="6"/>
        <v>#VALUE!</v>
      </c>
      <c r="C77" s="344" t="str">
        <f t="shared" si="7"/>
        <v>L後續處理</v>
      </c>
      <c r="D77" t="s">
        <v>1786</v>
      </c>
      <c r="F77" t="str">
        <f t="shared" si="8"/>
        <v>L2222</v>
      </c>
      <c r="G77" t="s">
        <v>2115</v>
      </c>
    </row>
    <row r="78" spans="1:7" x14ac:dyDescent="0.3">
      <c r="A78" s="277" t="s">
        <v>340</v>
      </c>
      <c r="B78" t="e">
        <f t="shared" si="6"/>
        <v>#VALUE!</v>
      </c>
      <c r="C78" s="344" t="str">
        <f t="shared" si="7"/>
        <v>L後續處理</v>
      </c>
      <c r="D78" t="s">
        <v>1786</v>
      </c>
      <c r="F78" t="str">
        <f t="shared" si="8"/>
        <v>L2480</v>
      </c>
      <c r="G78" t="s">
        <v>2116</v>
      </c>
    </row>
    <row r="79" spans="1:7" x14ac:dyDescent="0.3">
      <c r="A79" s="277" t="s">
        <v>343</v>
      </c>
      <c r="B79" t="e">
        <f t="shared" si="6"/>
        <v>#VALUE!</v>
      </c>
      <c r="C79" s="344" t="str">
        <f t="shared" si="7"/>
        <v>LD暫收款</v>
      </c>
      <c r="D79" t="s">
        <v>1797</v>
      </c>
      <c r="F79" t="e">
        <f t="shared" si="8"/>
        <v>#VALUE!</v>
      </c>
      <c r="G79" t="s">
        <v>2117</v>
      </c>
    </row>
    <row r="80" spans="1:7" x14ac:dyDescent="0.3">
      <c r="A80" s="277" t="s">
        <v>348</v>
      </c>
      <c r="B80" t="e">
        <f t="shared" si="6"/>
        <v>#VALUE!</v>
      </c>
      <c r="C80" s="344" t="str">
        <f t="shared" si="7"/>
        <v>LC009</v>
      </c>
      <c r="D80" t="s">
        <v>1801</v>
      </c>
      <c r="F80" t="e">
        <f t="shared" si="8"/>
        <v>#VALUE!</v>
      </c>
      <c r="G80" t="s">
        <v>2118</v>
      </c>
    </row>
    <row r="81" spans="1:7" x14ac:dyDescent="0.3">
      <c r="A81" s="277" t="s">
        <v>323</v>
      </c>
      <c r="B81" t="e">
        <f t="shared" si="6"/>
        <v>#VALUE!</v>
      </c>
      <c r="C81" s="344" t="str">
        <f t="shared" si="7"/>
        <v>L8030</v>
      </c>
      <c r="D81" t="s">
        <v>1803</v>
      </c>
      <c r="F81" t="e">
        <f t="shared" si="8"/>
        <v>#VALUE!</v>
      </c>
      <c r="G81" t="s">
        <v>2119</v>
      </c>
    </row>
    <row r="82" spans="1:7" x14ac:dyDescent="0.3">
      <c r="A82" s="277" t="s">
        <v>326</v>
      </c>
      <c r="B82" t="str">
        <f t="shared" si="6"/>
        <v>連結</v>
      </c>
      <c r="C82" s="344" t="str">
        <f t="shared" si="7"/>
        <v>L6932</v>
      </c>
      <c r="D82" t="s">
        <v>1806</v>
      </c>
      <c r="F82" t="e">
        <f t="shared" si="8"/>
        <v>#VALUE!</v>
      </c>
      <c r="G82" t="s">
        <v>2120</v>
      </c>
    </row>
    <row r="83" spans="1:7" x14ac:dyDescent="0.3">
      <c r="A83" s="277" t="s">
        <v>365</v>
      </c>
      <c r="B83" t="str">
        <f t="shared" si="6"/>
        <v>連結</v>
      </c>
      <c r="C83" s="344" t="str">
        <f t="shared" si="7"/>
        <v>L5960</v>
      </c>
      <c r="D83" t="s">
        <v>1809</v>
      </c>
      <c r="F83" t="e">
        <f t="shared" si="8"/>
        <v>#VALUE!</v>
      </c>
      <c r="G83" t="s">
        <v>2121</v>
      </c>
    </row>
    <row r="84" spans="1:7" x14ac:dyDescent="0.3">
      <c r="A84" s="277" t="s">
        <v>367</v>
      </c>
      <c r="B84" t="str">
        <f t="shared" si="6"/>
        <v>連結</v>
      </c>
      <c r="C84" s="344" t="str">
        <f t="shared" si="7"/>
        <v>L5976</v>
      </c>
      <c r="D84" t="s">
        <v>1811</v>
      </c>
      <c r="F84" t="e">
        <f t="shared" si="8"/>
        <v>#VALUE!</v>
      </c>
      <c r="G84" t="s">
        <v>2122</v>
      </c>
    </row>
    <row r="85" spans="1:7" x14ac:dyDescent="0.3">
      <c r="A85" s="277" t="s">
        <v>373</v>
      </c>
      <c r="B85" t="e">
        <f t="shared" si="6"/>
        <v>#VALUE!</v>
      </c>
      <c r="C85" s="344" t="str">
        <f t="shared" si="7"/>
        <v>L5702</v>
      </c>
      <c r="D85" t="s">
        <v>1813</v>
      </c>
      <c r="F85" t="e">
        <f t="shared" si="8"/>
        <v>#VALUE!</v>
      </c>
      <c r="G85" t="s">
        <v>2123</v>
      </c>
    </row>
    <row r="86" spans="1:7" x14ac:dyDescent="0.3">
      <c r="A86" s="277" t="s">
        <v>375</v>
      </c>
      <c r="B86" t="str">
        <f t="shared" si="6"/>
        <v>連結</v>
      </c>
      <c r="C86" s="344" t="str">
        <f t="shared" si="7"/>
        <v>L5977</v>
      </c>
      <c r="D86" t="s">
        <v>1815</v>
      </c>
      <c r="F86" s="277" t="str">
        <f t="shared" si="8"/>
        <v>L8203</v>
      </c>
      <c r="G86" t="s">
        <v>2182</v>
      </c>
    </row>
    <row r="87" spans="1:7" x14ac:dyDescent="0.3">
      <c r="A87" s="277" t="s">
        <v>377</v>
      </c>
      <c r="B87" t="e">
        <f t="shared" si="6"/>
        <v>#VALUE!</v>
      </c>
      <c r="C87" s="344" t="str">
        <f t="shared" si="7"/>
        <v>L5711</v>
      </c>
      <c r="D87" t="s">
        <v>1816</v>
      </c>
      <c r="F87" s="277" t="str">
        <f t="shared" si="8"/>
        <v>L8204</v>
      </c>
      <c r="G87" t="s">
        <v>2183</v>
      </c>
    </row>
    <row r="88" spans="1:7" x14ac:dyDescent="0.3">
      <c r="A88" s="277" t="s">
        <v>379</v>
      </c>
      <c r="B88" t="e">
        <f t="shared" si="6"/>
        <v>#VALUE!</v>
      </c>
      <c r="C88" s="344" t="str">
        <f t="shared" si="7"/>
        <v>L5711</v>
      </c>
      <c r="D88" t="s">
        <v>1817</v>
      </c>
      <c r="F88" s="277" t="str">
        <f t="shared" si="8"/>
        <v>L5813</v>
      </c>
      <c r="G88" t="s">
        <v>2184</v>
      </c>
    </row>
    <row r="89" spans="1:7" x14ac:dyDescent="0.3">
      <c r="A89" s="277" t="s">
        <v>388</v>
      </c>
      <c r="B89" t="e">
        <f t="shared" si="6"/>
        <v>#VALUE!</v>
      </c>
      <c r="C89" s="344" t="str">
        <f t="shared" si="7"/>
        <v>L6085</v>
      </c>
      <c r="D89" t="s">
        <v>1822</v>
      </c>
    </row>
    <row r="90" spans="1:7" x14ac:dyDescent="0.3">
      <c r="A90" s="277" t="s">
        <v>401</v>
      </c>
      <c r="B90" t="e">
        <f t="shared" si="6"/>
        <v>#VALUE!</v>
      </c>
      <c r="C90" s="344" t="str">
        <f t="shared" si="7"/>
        <v>L4500</v>
      </c>
      <c r="D90" t="s">
        <v>1839</v>
      </c>
    </row>
    <row r="91" spans="1:7" x14ac:dyDescent="0.3">
      <c r="A91" s="277" t="s">
        <v>408</v>
      </c>
      <c r="B91" t="e">
        <f t="shared" si="6"/>
        <v>#VALUE!</v>
      </c>
      <c r="C91" s="344" t="str">
        <f t="shared" si="7"/>
        <v>L4500</v>
      </c>
      <c r="D91" t="s">
        <v>1840</v>
      </c>
    </row>
    <row r="92" spans="1:7" x14ac:dyDescent="0.3">
      <c r="A92" s="277" t="s">
        <v>1411</v>
      </c>
      <c r="B92" t="e">
        <f t="shared" si="6"/>
        <v>#VALUE!</v>
      </c>
      <c r="C92" s="344" t="str">
        <f t="shared" si="7"/>
        <v>L4210</v>
      </c>
      <c r="D92" t="s">
        <v>1844</v>
      </c>
    </row>
    <row r="93" spans="1:7" x14ac:dyDescent="0.3">
      <c r="A93" s="277" t="s">
        <v>411</v>
      </c>
      <c r="B93" t="e">
        <f t="shared" si="6"/>
        <v>#VALUE!</v>
      </c>
      <c r="C93" s="344" t="str">
        <f t="shared" si="7"/>
        <v>L3200</v>
      </c>
      <c r="D93" t="s">
        <v>1854</v>
      </c>
    </row>
    <row r="94" spans="1:7" x14ac:dyDescent="0.3">
      <c r="A94" s="277" t="s">
        <v>413</v>
      </c>
      <c r="B94" t="e">
        <f t="shared" si="6"/>
        <v>#VALUE!</v>
      </c>
      <c r="C94" s="344" t="str">
        <f t="shared" si="7"/>
        <v>L3130</v>
      </c>
      <c r="D94" t="s">
        <v>1857</v>
      </c>
    </row>
    <row r="95" spans="1:7" x14ac:dyDescent="0.3">
      <c r="A95" s="277" t="s">
        <v>699</v>
      </c>
      <c r="B95" t="e">
        <f t="shared" si="6"/>
        <v>#VALUE!</v>
      </c>
      <c r="C95" s="344" t="str">
        <f t="shared" si="7"/>
        <v>L4920</v>
      </c>
      <c r="D95" t="s">
        <v>1869</v>
      </c>
    </row>
    <row r="96" spans="1:7" x14ac:dyDescent="0.3">
      <c r="A96" s="277" t="s">
        <v>415</v>
      </c>
      <c r="B96" t="e">
        <f t="shared" si="6"/>
        <v>#VALUE!</v>
      </c>
      <c r="C96" s="344" t="str">
        <f t="shared" si="7"/>
        <v>L6501</v>
      </c>
      <c r="D96" t="s">
        <v>1874</v>
      </c>
    </row>
    <row r="97" spans="1:4" x14ac:dyDescent="0.3">
      <c r="A97" s="277" t="s">
        <v>419</v>
      </c>
      <c r="B97" t="e">
        <f t="shared" si="6"/>
        <v>#VALUE!</v>
      </c>
      <c r="C97" s="344" t="str">
        <f t="shared" si="7"/>
        <v>L3130</v>
      </c>
      <c r="D97" t="s">
        <v>1880</v>
      </c>
    </row>
    <row r="98" spans="1:4" x14ac:dyDescent="0.3">
      <c r="A98" s="277" t="s">
        <v>422</v>
      </c>
      <c r="B98" t="str">
        <f t="shared" si="6"/>
        <v>連結</v>
      </c>
      <c r="C98" s="344" t="str">
        <f t="shared" si="7"/>
        <v>L8204</v>
      </c>
      <c r="D98" t="s">
        <v>1881</v>
      </c>
    </row>
    <row r="99" spans="1:4" x14ac:dyDescent="0.3">
      <c r="A99" s="277" t="s">
        <v>785</v>
      </c>
      <c r="B99" t="e">
        <f t="shared" ref="B99:B114" si="9">IF(FIND("連結",D99)&gt;0,"連結",FIND("連結",D99))</f>
        <v>#VALUE!</v>
      </c>
      <c r="C99" s="344" t="str">
        <f t="shared" ref="C99:C114" si="10">MID(D99,FIND("L",D99),5)</f>
        <v>L9133</v>
      </c>
      <c r="D99" t="s">
        <v>1912</v>
      </c>
    </row>
    <row r="100" spans="1:4" x14ac:dyDescent="0.3">
      <c r="A100" s="277" t="s">
        <v>430</v>
      </c>
      <c r="B100" t="e">
        <f t="shared" si="9"/>
        <v>#VALUE!</v>
      </c>
      <c r="C100" s="344" t="e">
        <f t="shared" si="10"/>
        <v>#VALUE!</v>
      </c>
      <c r="D100" t="s">
        <v>1914</v>
      </c>
    </row>
    <row r="101" spans="1:4" x14ac:dyDescent="0.3">
      <c r="A101" s="277" t="s">
        <v>434</v>
      </c>
      <c r="B101" t="str">
        <f t="shared" si="9"/>
        <v>連結</v>
      </c>
      <c r="C101" s="344" t="str">
        <f t="shared" si="10"/>
        <v>L2038</v>
      </c>
      <c r="D101" t="s">
        <v>1918</v>
      </c>
    </row>
    <row r="102" spans="1:4" x14ac:dyDescent="0.3">
      <c r="A102" s="277" t="s">
        <v>432</v>
      </c>
      <c r="B102" t="e">
        <f t="shared" si="9"/>
        <v>#VALUE!</v>
      </c>
      <c r="C102" s="344" t="str">
        <f t="shared" si="10"/>
        <v>L4610</v>
      </c>
      <c r="D102" t="s">
        <v>1923</v>
      </c>
    </row>
    <row r="103" spans="1:4" x14ac:dyDescent="0.3">
      <c r="A103" s="277" t="s">
        <v>438</v>
      </c>
      <c r="B103" t="e">
        <f t="shared" si="9"/>
        <v>#VALUE!</v>
      </c>
      <c r="C103" s="344" t="str">
        <f t="shared" si="10"/>
        <v>L4611</v>
      </c>
      <c r="D103" t="s">
        <v>1924</v>
      </c>
    </row>
    <row r="104" spans="1:4" x14ac:dyDescent="0.3">
      <c r="A104" s="277" t="s">
        <v>452</v>
      </c>
      <c r="B104" t="e">
        <f t="shared" si="9"/>
        <v>#VALUE!</v>
      </c>
      <c r="C104" s="344" t="str">
        <f t="shared" si="10"/>
        <v>L4962</v>
      </c>
      <c r="D104" t="s">
        <v>1925</v>
      </c>
    </row>
    <row r="105" spans="1:4" x14ac:dyDescent="0.3">
      <c r="A105" s="277" t="s">
        <v>458</v>
      </c>
      <c r="B105" t="str">
        <f t="shared" si="9"/>
        <v>連結</v>
      </c>
      <c r="C105" s="344" t="str">
        <f t="shared" si="10"/>
        <v>L4961</v>
      </c>
      <c r="D105" t="s">
        <v>1926</v>
      </c>
    </row>
    <row r="106" spans="1:4" x14ac:dyDescent="0.3">
      <c r="A106" s="277" t="s">
        <v>460</v>
      </c>
      <c r="B106" t="e">
        <f t="shared" si="9"/>
        <v>#VALUE!</v>
      </c>
      <c r="C106" s="344" t="str">
        <f t="shared" si="10"/>
        <v>L6301</v>
      </c>
      <c r="D106" t="s">
        <v>1931</v>
      </c>
    </row>
    <row r="107" spans="1:4" x14ac:dyDescent="0.3">
      <c r="A107" s="277" t="s">
        <v>462</v>
      </c>
      <c r="B107" t="e">
        <f t="shared" si="9"/>
        <v>#VALUE!</v>
      </c>
      <c r="C107" s="344" t="str">
        <f t="shared" si="10"/>
        <v>L8204</v>
      </c>
      <c r="D107" t="s">
        <v>1957</v>
      </c>
    </row>
    <row r="108" spans="1:4" x14ac:dyDescent="0.3">
      <c r="A108" s="277" t="s">
        <v>455</v>
      </c>
      <c r="B108" t="e">
        <f t="shared" si="9"/>
        <v>#VALUE!</v>
      </c>
      <c r="C108" s="344" t="e">
        <f t="shared" si="10"/>
        <v>#VALUE!</v>
      </c>
      <c r="D108" t="s">
        <v>1962</v>
      </c>
    </row>
    <row r="109" spans="1:4" x14ac:dyDescent="0.3">
      <c r="A109" s="277" t="s">
        <v>1799</v>
      </c>
      <c r="B109" t="str">
        <f t="shared" si="9"/>
        <v>連結</v>
      </c>
      <c r="C109" s="344" t="str">
        <f t="shared" si="10"/>
        <v>L2017</v>
      </c>
      <c r="D109" t="s">
        <v>1966</v>
      </c>
    </row>
    <row r="110" spans="1:4" x14ac:dyDescent="0.3">
      <c r="A110" s="277" t="s">
        <v>472</v>
      </c>
      <c r="B110" t="str">
        <f t="shared" si="9"/>
        <v>連結</v>
      </c>
      <c r="C110" s="344" t="str">
        <f t="shared" si="10"/>
        <v>L2039</v>
      </c>
      <c r="D110" t="s">
        <v>1967</v>
      </c>
    </row>
    <row r="111" spans="1:4" x14ac:dyDescent="0.3">
      <c r="A111" s="277" t="s">
        <v>476</v>
      </c>
      <c r="B111" t="e">
        <f t="shared" si="9"/>
        <v>#VALUE!</v>
      </c>
      <c r="C111" s="344" t="str">
        <f t="shared" si="10"/>
        <v>L2411</v>
      </c>
      <c r="D111" t="s">
        <v>1970</v>
      </c>
    </row>
    <row r="112" spans="1:4" x14ac:dyDescent="0.3">
      <c r="A112" s="277" t="s">
        <v>470</v>
      </c>
      <c r="B112" t="str">
        <f t="shared" si="9"/>
        <v>連結</v>
      </c>
      <c r="C112" s="344" t="str">
        <f t="shared" si="10"/>
        <v>L190A</v>
      </c>
      <c r="D112" t="s">
        <v>1982</v>
      </c>
    </row>
    <row r="113" spans="1:4" x14ac:dyDescent="0.3">
      <c r="A113" s="277" t="s">
        <v>482</v>
      </c>
      <c r="B113" t="e">
        <f t="shared" si="9"/>
        <v>#VALUE!</v>
      </c>
      <c r="C113" s="344" t="str">
        <f t="shared" si="10"/>
        <v>L5062</v>
      </c>
      <c r="D113" t="s">
        <v>1983</v>
      </c>
    </row>
    <row r="114" spans="1:4" x14ac:dyDescent="0.3">
      <c r="A114" s="277" t="s">
        <v>486</v>
      </c>
      <c r="B114" t="e">
        <f t="shared" si="9"/>
        <v>#VALUE!</v>
      </c>
      <c r="C114" s="344" t="str">
        <f t="shared" si="10"/>
        <v>L2038</v>
      </c>
      <c r="D114" t="s">
        <v>1985</v>
      </c>
    </row>
    <row r="115" spans="1:4" x14ac:dyDescent="0.3">
      <c r="A115" s="277" t="s">
        <v>515</v>
      </c>
    </row>
    <row r="116" spans="1:4" x14ac:dyDescent="0.3">
      <c r="A116" s="277" t="s">
        <v>517</v>
      </c>
    </row>
    <row r="117" spans="1:4" x14ac:dyDescent="0.3">
      <c r="A117" s="277" t="s">
        <v>493</v>
      </c>
    </row>
    <row r="118" spans="1:4" x14ac:dyDescent="0.3">
      <c r="A118" s="277" t="s">
        <v>524</v>
      </c>
    </row>
    <row r="119" spans="1:4" x14ac:dyDescent="0.3">
      <c r="A119" s="277" t="s">
        <v>519</v>
      </c>
    </row>
    <row r="120" spans="1:4" x14ac:dyDescent="0.3">
      <c r="A120" s="277" t="s">
        <v>526</v>
      </c>
    </row>
    <row r="121" spans="1:4" x14ac:dyDescent="0.3">
      <c r="A121" s="277" t="s">
        <v>532</v>
      </c>
    </row>
    <row r="122" spans="1:4" x14ac:dyDescent="0.3">
      <c r="A122" s="277" t="s">
        <v>534</v>
      </c>
    </row>
    <row r="123" spans="1:4" x14ac:dyDescent="0.3">
      <c r="A123" s="277" t="s">
        <v>528</v>
      </c>
    </row>
    <row r="124" spans="1:4" x14ac:dyDescent="0.3">
      <c r="A124" s="277" t="s">
        <v>574</v>
      </c>
    </row>
    <row r="125" spans="1:4" x14ac:dyDescent="0.3">
      <c r="A125" s="277" t="s">
        <v>576</v>
      </c>
    </row>
    <row r="126" spans="1:4" x14ac:dyDescent="0.3">
      <c r="A126" s="277" t="s">
        <v>564</v>
      </c>
    </row>
    <row r="127" spans="1:4" x14ac:dyDescent="0.3">
      <c r="A127" s="277" t="s">
        <v>568</v>
      </c>
    </row>
    <row r="128" spans="1:4" x14ac:dyDescent="0.3">
      <c r="A128" s="277" t="s">
        <v>1109</v>
      </c>
    </row>
    <row r="129" spans="1:1" x14ac:dyDescent="0.3">
      <c r="A129" s="277" t="s">
        <v>598</v>
      </c>
    </row>
    <row r="130" spans="1:1" x14ac:dyDescent="0.3">
      <c r="A130" s="277" t="s">
        <v>606</v>
      </c>
    </row>
    <row r="131" spans="1:1" x14ac:dyDescent="0.3">
      <c r="A131" s="277" t="s">
        <v>608</v>
      </c>
    </row>
    <row r="132" spans="1:1" x14ac:dyDescent="0.3">
      <c r="A132" s="277" t="s">
        <v>615</v>
      </c>
    </row>
    <row r="133" spans="1:1" x14ac:dyDescent="0.3">
      <c r="A133" s="277" t="s">
        <v>623</v>
      </c>
    </row>
    <row r="134" spans="1:1" x14ac:dyDescent="0.3">
      <c r="A134" s="277" t="s">
        <v>621</v>
      </c>
    </row>
    <row r="135" spans="1:1" x14ac:dyDescent="0.3">
      <c r="A135" s="277" t="s">
        <v>626</v>
      </c>
    </row>
    <row r="136" spans="1:1" x14ac:dyDescent="0.3">
      <c r="A136" s="277" t="s">
        <v>778</v>
      </c>
    </row>
    <row r="137" spans="1:1" x14ac:dyDescent="0.3">
      <c r="A137" s="277" t="s">
        <v>361</v>
      </c>
    </row>
    <row r="138" spans="1:1" x14ac:dyDescent="0.3">
      <c r="A138" s="277" t="s">
        <v>718</v>
      </c>
    </row>
    <row r="139" spans="1:1" x14ac:dyDescent="0.3">
      <c r="A139" s="277" t="s">
        <v>694</v>
      </c>
    </row>
    <row r="140" spans="1:1" x14ac:dyDescent="0.3">
      <c r="A140" s="277" t="s">
        <v>633</v>
      </c>
    </row>
    <row r="141" spans="1:1" x14ac:dyDescent="0.3">
      <c r="A141" s="277" t="s">
        <v>661</v>
      </c>
    </row>
    <row r="142" spans="1:1" x14ac:dyDescent="0.3">
      <c r="A142" s="277" t="s">
        <v>665</v>
      </c>
    </row>
    <row r="143" spans="1:1" x14ac:dyDescent="0.3">
      <c r="A143" s="277" t="s">
        <v>640</v>
      </c>
    </row>
    <row r="144" spans="1:1" x14ac:dyDescent="0.3">
      <c r="A144" s="277" t="s">
        <v>669</v>
      </c>
    </row>
    <row r="145" spans="1:1" x14ac:dyDescent="0.3">
      <c r="A145" s="277" t="s">
        <v>671</v>
      </c>
    </row>
    <row r="146" spans="1:1" x14ac:dyDescent="0.3">
      <c r="A146" s="277" t="s">
        <v>943</v>
      </c>
    </row>
    <row r="147" spans="1:1" x14ac:dyDescent="0.3">
      <c r="A147" s="277" t="s">
        <v>689</v>
      </c>
    </row>
    <row r="148" spans="1:1" x14ac:dyDescent="0.3">
      <c r="A148" s="277" t="s">
        <v>1122</v>
      </c>
    </row>
    <row r="149" spans="1:1" x14ac:dyDescent="0.3">
      <c r="A149" s="277" t="s">
        <v>1134</v>
      </c>
    </row>
    <row r="150" spans="1:1" x14ac:dyDescent="0.3">
      <c r="A150" s="277" t="s">
        <v>1136</v>
      </c>
    </row>
    <row r="151" spans="1:1" x14ac:dyDescent="0.3">
      <c r="A151" s="277" t="s">
        <v>1182</v>
      </c>
    </row>
    <row r="152" spans="1:1" x14ac:dyDescent="0.3">
      <c r="A152" s="277" t="s">
        <v>650</v>
      </c>
    </row>
    <row r="153" spans="1:1" x14ac:dyDescent="0.3">
      <c r="A153" s="277" t="s">
        <v>644</v>
      </c>
    </row>
    <row r="154" spans="1:1" x14ac:dyDescent="0.3">
      <c r="A154" s="277" t="s">
        <v>642</v>
      </c>
    </row>
    <row r="155" spans="1:1" x14ac:dyDescent="0.3">
      <c r="A155" s="277" t="s">
        <v>707</v>
      </c>
    </row>
    <row r="156" spans="1:1" x14ac:dyDescent="0.3">
      <c r="A156" s="277" t="s">
        <v>1909</v>
      </c>
    </row>
    <row r="157" spans="1:1" x14ac:dyDescent="0.3">
      <c r="A157" s="277" t="s">
        <v>787</v>
      </c>
    </row>
    <row r="158" spans="1:1" x14ac:dyDescent="0.3">
      <c r="A158" s="277" t="s">
        <v>449</v>
      </c>
    </row>
    <row r="159" spans="1:1" x14ac:dyDescent="0.3">
      <c r="A159" s="277" t="s">
        <v>743</v>
      </c>
    </row>
    <row r="160" spans="1:1" x14ac:dyDescent="0.3">
      <c r="A160" s="277" t="s">
        <v>747</v>
      </c>
    </row>
    <row r="161" spans="1:1" x14ac:dyDescent="0.3">
      <c r="A161" s="277" t="s">
        <v>1458</v>
      </c>
    </row>
    <row r="162" spans="1:1" x14ac:dyDescent="0.3">
      <c r="A162" s="277" t="s">
        <v>828</v>
      </c>
    </row>
    <row r="163" spans="1:1" x14ac:dyDescent="0.3">
      <c r="A163" s="277" t="s">
        <v>830</v>
      </c>
    </row>
    <row r="164" spans="1:1" x14ac:dyDescent="0.3">
      <c r="A164" s="277" t="s">
        <v>813</v>
      </c>
    </row>
    <row r="165" spans="1:1" x14ac:dyDescent="0.3">
      <c r="A165" s="277" t="s">
        <v>815</v>
      </c>
    </row>
    <row r="166" spans="1:1" x14ac:dyDescent="0.3">
      <c r="A166" s="277" t="s">
        <v>822</v>
      </c>
    </row>
    <row r="167" spans="1:1" x14ac:dyDescent="0.3">
      <c r="A167" s="277" t="s">
        <v>817</v>
      </c>
    </row>
    <row r="168" spans="1:1" x14ac:dyDescent="0.3">
      <c r="A168" s="277" t="s">
        <v>826</v>
      </c>
    </row>
    <row r="169" spans="1:1" x14ac:dyDescent="0.3">
      <c r="A169" s="277" t="s">
        <v>861</v>
      </c>
    </row>
    <row r="170" spans="1:1" x14ac:dyDescent="0.3">
      <c r="A170" s="277" t="s">
        <v>655</v>
      </c>
    </row>
    <row r="171" spans="1:1" x14ac:dyDescent="0.3">
      <c r="A171" s="277" t="s">
        <v>658</v>
      </c>
    </row>
    <row r="172" spans="1:1" x14ac:dyDescent="0.3">
      <c r="A172" s="277" t="s">
        <v>795</v>
      </c>
    </row>
    <row r="173" spans="1:1" x14ac:dyDescent="0.3">
      <c r="A173" s="277" t="s">
        <v>852</v>
      </c>
    </row>
    <row r="174" spans="1:1" x14ac:dyDescent="0.3">
      <c r="A174" s="277" t="s">
        <v>866</v>
      </c>
    </row>
    <row r="175" spans="1:1" x14ac:dyDescent="0.3">
      <c r="A175" s="277" t="s">
        <v>869</v>
      </c>
    </row>
    <row r="176" spans="1:1" x14ac:dyDescent="0.3">
      <c r="A176" s="277" t="s">
        <v>871</v>
      </c>
    </row>
    <row r="177" spans="1:1" x14ac:dyDescent="0.3">
      <c r="A177" s="277" t="s">
        <v>873</v>
      </c>
    </row>
    <row r="178" spans="1:1" x14ac:dyDescent="0.3">
      <c r="A178" s="277" t="s">
        <v>877</v>
      </c>
    </row>
    <row r="179" spans="1:1" x14ac:dyDescent="0.3">
      <c r="A179" s="277" t="s">
        <v>881</v>
      </c>
    </row>
    <row r="180" spans="1:1" x14ac:dyDescent="0.3">
      <c r="A180" s="277" t="s">
        <v>885</v>
      </c>
    </row>
    <row r="181" spans="1:1" x14ac:dyDescent="0.3">
      <c r="A181" s="277" t="s">
        <v>889</v>
      </c>
    </row>
    <row r="182" spans="1:1" x14ac:dyDescent="0.3">
      <c r="A182" s="277" t="s">
        <v>893</v>
      </c>
    </row>
    <row r="183" spans="1:1" x14ac:dyDescent="0.3">
      <c r="A183" s="277" t="s">
        <v>879</v>
      </c>
    </row>
    <row r="184" spans="1:1" x14ac:dyDescent="0.3">
      <c r="A184" s="277" t="s">
        <v>883</v>
      </c>
    </row>
    <row r="185" spans="1:1" x14ac:dyDescent="0.3">
      <c r="A185" s="277" t="s">
        <v>887</v>
      </c>
    </row>
    <row r="186" spans="1:1" x14ac:dyDescent="0.3">
      <c r="A186" s="277" t="s">
        <v>891</v>
      </c>
    </row>
    <row r="187" spans="1:1" x14ac:dyDescent="0.3">
      <c r="A187" s="277" t="s">
        <v>895</v>
      </c>
    </row>
    <row r="188" spans="1:1" x14ac:dyDescent="0.3">
      <c r="A188" s="277" t="s">
        <v>897</v>
      </c>
    </row>
    <row r="189" spans="1:1" x14ac:dyDescent="0.3">
      <c r="A189" s="277" t="s">
        <v>962</v>
      </c>
    </row>
    <row r="190" spans="1:1" x14ac:dyDescent="0.3">
      <c r="A190" s="277" t="s">
        <v>966</v>
      </c>
    </row>
    <row r="191" spans="1:1" x14ac:dyDescent="0.3">
      <c r="A191" s="277" t="s">
        <v>978</v>
      </c>
    </row>
    <row r="192" spans="1:1" x14ac:dyDescent="0.3">
      <c r="A192" s="277" t="s">
        <v>979</v>
      </c>
    </row>
    <row r="193" spans="1:1" x14ac:dyDescent="0.3">
      <c r="A193" s="277" t="s">
        <v>925</v>
      </c>
    </row>
    <row r="194" spans="1:1" x14ac:dyDescent="0.3">
      <c r="A194" s="277" t="s">
        <v>931</v>
      </c>
    </row>
    <row r="195" spans="1:1" x14ac:dyDescent="0.3">
      <c r="A195" s="277" t="s">
        <v>938</v>
      </c>
    </row>
    <row r="196" spans="1:1" x14ac:dyDescent="0.3">
      <c r="A196" s="277" t="s">
        <v>939</v>
      </c>
    </row>
    <row r="197" spans="1:1" x14ac:dyDescent="0.3">
      <c r="A197" s="277" t="s">
        <v>929</v>
      </c>
    </row>
    <row r="198" spans="1:1" x14ac:dyDescent="0.3">
      <c r="A198" s="277" t="s">
        <v>951</v>
      </c>
    </row>
    <row r="199" spans="1:1" x14ac:dyDescent="0.3">
      <c r="A199" s="277" t="s">
        <v>947</v>
      </c>
    </row>
    <row r="200" spans="1:1" x14ac:dyDescent="0.3">
      <c r="A200" s="277" t="s">
        <v>949</v>
      </c>
    </row>
    <row r="201" spans="1:1" x14ac:dyDescent="0.3">
      <c r="A201" s="277" t="s">
        <v>953</v>
      </c>
    </row>
    <row r="202" spans="1:1" x14ac:dyDescent="0.3">
      <c r="A202" s="277" t="s">
        <v>919</v>
      </c>
    </row>
    <row r="203" spans="1:1" x14ac:dyDescent="0.3">
      <c r="A203" s="277" t="s">
        <v>959</v>
      </c>
    </row>
    <row r="204" spans="1:1" x14ac:dyDescent="0.3">
      <c r="A204" s="277" t="s">
        <v>968</v>
      </c>
    </row>
    <row r="205" spans="1:1" x14ac:dyDescent="0.3">
      <c r="A205" s="277" t="s">
        <v>972</v>
      </c>
    </row>
    <row r="206" spans="1:1" x14ac:dyDescent="0.3">
      <c r="A206" s="277" t="s">
        <v>974</v>
      </c>
    </row>
    <row r="207" spans="1:1" x14ac:dyDescent="0.3">
      <c r="A207" s="277" t="s">
        <v>1382</v>
      </c>
    </row>
    <row r="208" spans="1:1" x14ac:dyDescent="0.3">
      <c r="A208" s="277" t="s">
        <v>790</v>
      </c>
    </row>
    <row r="209" spans="1:1" x14ac:dyDescent="0.3">
      <c r="A209" s="277" t="s">
        <v>1264</v>
      </c>
    </row>
    <row r="210" spans="1:1" x14ac:dyDescent="0.3">
      <c r="A210" s="277" t="s">
        <v>2407</v>
      </c>
    </row>
    <row r="211" spans="1:1" x14ac:dyDescent="0.3">
      <c r="A211" s="277" t="s">
        <v>1107</v>
      </c>
    </row>
    <row r="212" spans="1:1" x14ac:dyDescent="0.3">
      <c r="A212" s="277" t="s">
        <v>2124</v>
      </c>
    </row>
    <row r="213" spans="1:1" x14ac:dyDescent="0.3">
      <c r="A213" s="277" t="s">
        <v>1051</v>
      </c>
    </row>
    <row r="214" spans="1:1" x14ac:dyDescent="0.3">
      <c r="A214" s="277" t="s">
        <v>1058</v>
      </c>
    </row>
    <row r="215" spans="1:1" x14ac:dyDescent="0.3">
      <c r="A215" s="277" t="s">
        <v>163</v>
      </c>
    </row>
    <row r="216" spans="1:1" x14ac:dyDescent="0.3">
      <c r="A216" s="277" t="s">
        <v>1094</v>
      </c>
    </row>
    <row r="217" spans="1:1" x14ac:dyDescent="0.3">
      <c r="A217" s="277" t="s">
        <v>846</v>
      </c>
    </row>
    <row r="218" spans="1:1" x14ac:dyDescent="0.3">
      <c r="A218" s="277" t="s">
        <v>351</v>
      </c>
    </row>
    <row r="219" spans="1:1" x14ac:dyDescent="0.3">
      <c r="A219" s="277" t="s">
        <v>840</v>
      </c>
    </row>
    <row r="220" spans="1:1" x14ac:dyDescent="0.3">
      <c r="A220" s="277" t="s">
        <v>1090</v>
      </c>
    </row>
    <row r="221" spans="1:1" x14ac:dyDescent="0.3">
      <c r="A221" s="277" t="s">
        <v>147</v>
      </c>
    </row>
    <row r="222" spans="1:1" x14ac:dyDescent="0.3">
      <c r="A222" s="277" t="s">
        <v>2125</v>
      </c>
    </row>
    <row r="223" spans="1:1" x14ac:dyDescent="0.3">
      <c r="A223" s="277" t="s">
        <v>1389</v>
      </c>
    </row>
    <row r="224" spans="1:1" x14ac:dyDescent="0.3">
      <c r="A224" s="277" t="s">
        <v>1117</v>
      </c>
    </row>
    <row r="225" spans="1:1" x14ac:dyDescent="0.3">
      <c r="A225" s="277" t="s">
        <v>488</v>
      </c>
    </row>
    <row r="226" spans="1:1" x14ac:dyDescent="0.3">
      <c r="A226" s="277" t="s">
        <v>511</v>
      </c>
    </row>
    <row r="227" spans="1:1" x14ac:dyDescent="0.3">
      <c r="A227" s="277" t="s">
        <v>611</v>
      </c>
    </row>
    <row r="228" spans="1:1" x14ac:dyDescent="0.3">
      <c r="A228" s="277" t="s">
        <v>696</v>
      </c>
    </row>
    <row r="229" spans="1:1" x14ac:dyDescent="0.3">
      <c r="A229" s="277" t="s">
        <v>428</v>
      </c>
    </row>
    <row r="230" spans="1:1" x14ac:dyDescent="0.3">
      <c r="A230" s="277" t="s">
        <v>440</v>
      </c>
    </row>
    <row r="231" spans="1:1" x14ac:dyDescent="0.3">
      <c r="A231" s="277" t="s">
        <v>899</v>
      </c>
    </row>
    <row r="232" spans="1:1" x14ac:dyDescent="0.3">
      <c r="A232" s="277" t="s">
        <v>902</v>
      </c>
    </row>
    <row r="233" spans="1:1" x14ac:dyDescent="0.3">
      <c r="A233" s="277" t="s">
        <v>1451</v>
      </c>
    </row>
    <row r="234" spans="1:1" x14ac:dyDescent="0.3">
      <c r="A234" s="277" t="s">
        <v>1456</v>
      </c>
    </row>
    <row r="235" spans="1:1" x14ac:dyDescent="0.3">
      <c r="A235" s="277" t="s">
        <v>582</v>
      </c>
    </row>
    <row r="236" spans="1:1" x14ac:dyDescent="0.3">
      <c r="A236" s="277" t="s">
        <v>745</v>
      </c>
    </row>
    <row r="237" spans="1:1" x14ac:dyDescent="0.3">
      <c r="A237" s="277" t="s">
        <v>1088</v>
      </c>
    </row>
    <row r="238" spans="1:1" x14ac:dyDescent="0.3">
      <c r="A238" s="277" t="s">
        <v>855</v>
      </c>
    </row>
    <row r="239" spans="1:1" x14ac:dyDescent="0.3">
      <c r="A239" t="s">
        <v>1357</v>
      </c>
    </row>
    <row r="240" spans="1:1" x14ac:dyDescent="0.3">
      <c r="A240" t="s">
        <v>1361</v>
      </c>
    </row>
    <row r="241" spans="1:1" x14ac:dyDescent="0.3">
      <c r="A241" t="s">
        <v>1365</v>
      </c>
    </row>
    <row r="242" spans="1:1" x14ac:dyDescent="0.3">
      <c r="A242" t="s">
        <v>1363</v>
      </c>
    </row>
    <row r="243" spans="1:1" x14ac:dyDescent="0.3">
      <c r="A243" t="s">
        <v>1367</v>
      </c>
    </row>
    <row r="244" spans="1:1" x14ac:dyDescent="0.3">
      <c r="A244" t="s">
        <v>1369</v>
      </c>
    </row>
    <row r="245" spans="1:1" x14ac:dyDescent="0.3">
      <c r="A245" t="s">
        <v>1349</v>
      </c>
    </row>
    <row r="246" spans="1:1" x14ac:dyDescent="0.3">
      <c r="A246" t="s">
        <v>1352</v>
      </c>
    </row>
    <row r="247" spans="1:1" x14ac:dyDescent="0.3">
      <c r="A247" t="s">
        <v>2575</v>
      </c>
    </row>
  </sheetData>
  <autoFilter ref="A1:G261" xr:uid="{00000000-0009-0000-0000-000012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9" bestFit="1" customWidth="1"/>
    <col min="2" max="2" width="12.3984375" style="159" customWidth="1"/>
    <col min="3" max="3" width="15.69921875" style="159" bestFit="1" customWidth="1"/>
    <col min="4" max="4" width="3.69921875" style="159" bestFit="1" customWidth="1"/>
    <col min="5" max="5" width="30.3984375" style="159" bestFit="1" customWidth="1"/>
    <col min="6" max="6" width="9.59765625" style="159" bestFit="1" customWidth="1"/>
    <col min="7" max="10" width="9" style="159" customWidth="1"/>
    <col min="11" max="16384" width="9" style="159"/>
  </cols>
  <sheetData>
    <row r="1" spans="1:6" s="122" customFormat="1" ht="16.5" customHeight="1" x14ac:dyDescent="0.3">
      <c r="A1" s="119" t="s">
        <v>1465</v>
      </c>
      <c r="B1" s="119" t="s">
        <v>1461</v>
      </c>
      <c r="C1" s="119" t="s">
        <v>1462</v>
      </c>
      <c r="D1" s="120" t="s">
        <v>2189</v>
      </c>
      <c r="E1" s="119" t="s">
        <v>2133</v>
      </c>
      <c r="F1" s="119" t="s">
        <v>1468</v>
      </c>
    </row>
    <row r="2" spans="1:6" x14ac:dyDescent="0.3">
      <c r="A2" s="157">
        <v>44467</v>
      </c>
      <c r="B2" s="160" t="s">
        <v>593</v>
      </c>
      <c r="C2" s="157" t="str">
        <f>VLOOKUP(B2,URS確認!$E:$F,2,FALSE)</f>
        <v>行庫資料維護</v>
      </c>
      <c r="D2" s="158">
        <v>1</v>
      </c>
      <c r="E2" s="159" t="s">
        <v>2190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2191</v>
      </c>
      <c r="B1" s="41" t="s">
        <v>2127</v>
      </c>
      <c r="C1" s="41" t="s">
        <v>2192</v>
      </c>
    </row>
    <row r="2" spans="1:3" ht="126" customHeight="1" x14ac:dyDescent="0.35">
      <c r="A2" s="9">
        <v>1</v>
      </c>
      <c r="B2" s="8" t="s">
        <v>2193</v>
      </c>
      <c r="C2" s="40" t="s">
        <v>2194</v>
      </c>
    </row>
    <row r="3" spans="1:3" x14ac:dyDescent="0.35">
      <c r="A3" s="7">
        <v>2</v>
      </c>
      <c r="B3" s="6" t="s">
        <v>2195</v>
      </c>
      <c r="C3" s="6" t="s">
        <v>2196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77" customWidth="1"/>
  </cols>
  <sheetData>
    <row r="1" spans="1:1" ht="110.25" customHeight="1" x14ac:dyDescent="0.35">
      <c r="A1" s="3" t="s">
        <v>2197</v>
      </c>
    </row>
    <row r="3" spans="1:1" x14ac:dyDescent="0.3">
      <c r="A3" s="10" t="s">
        <v>2198</v>
      </c>
    </row>
  </sheetData>
  <phoneticPr fontId="3" type="noConversion"/>
  <hyperlinks>
    <hyperlink ref="A3" r:id="rId1" xr:uid="{00000000-0004-0000-17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77" bestFit="1" customWidth="1"/>
    <col min="2" max="3" width="32.69921875" style="277" customWidth="1"/>
    <col min="4" max="4" width="12.69921875" style="277" customWidth="1"/>
    <col min="5" max="5" width="18.09765625" style="277" customWidth="1"/>
    <col min="6" max="6" width="12.19921875" style="277" customWidth="1"/>
    <col min="7" max="7" width="15.8984375" style="277" bestFit="1" customWidth="1"/>
    <col min="8" max="8" width="22.69921875" style="277" customWidth="1"/>
  </cols>
  <sheetData>
    <row r="1" spans="1:8" ht="37.5" customHeight="1" thickBot="1" x14ac:dyDescent="0.35">
      <c r="A1" s="11" t="s">
        <v>2199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2200</v>
      </c>
      <c r="B2" s="15" t="s">
        <v>2201</v>
      </c>
      <c r="C2" s="15" t="s">
        <v>2202</v>
      </c>
      <c r="D2" s="15">
        <v>7001</v>
      </c>
      <c r="E2" s="15" t="s">
        <v>2203</v>
      </c>
      <c r="F2" s="13" t="s">
        <v>2176</v>
      </c>
      <c r="G2" s="14"/>
      <c r="H2" s="16"/>
    </row>
    <row r="3" spans="1:8" ht="24" customHeight="1" x14ac:dyDescent="0.3">
      <c r="A3" s="18" t="s">
        <v>2204</v>
      </c>
      <c r="B3" s="18" t="s">
        <v>2205</v>
      </c>
      <c r="C3" s="18" t="s">
        <v>2206</v>
      </c>
      <c r="D3" s="18">
        <v>7180</v>
      </c>
      <c r="E3" s="18" t="s">
        <v>2203</v>
      </c>
      <c r="F3" s="17" t="s">
        <v>2176</v>
      </c>
      <c r="G3" s="36" t="s">
        <v>212</v>
      </c>
      <c r="H3" s="19"/>
    </row>
    <row r="4" spans="1:8" ht="24" customHeight="1" x14ac:dyDescent="0.3">
      <c r="A4" s="22" t="s">
        <v>23</v>
      </c>
      <c r="B4" s="22" t="s">
        <v>2207</v>
      </c>
      <c r="C4" s="22" t="s">
        <v>2208</v>
      </c>
      <c r="D4" s="22">
        <v>7083</v>
      </c>
      <c r="E4" s="22" t="s">
        <v>2203</v>
      </c>
      <c r="F4" s="20" t="s">
        <v>2176</v>
      </c>
      <c r="G4" s="21" t="s">
        <v>1414</v>
      </c>
      <c r="H4" s="23"/>
    </row>
    <row r="5" spans="1:8" ht="24" customHeight="1" x14ac:dyDescent="0.3">
      <c r="A5" s="22" t="s">
        <v>22</v>
      </c>
      <c r="B5" s="22" t="s">
        <v>2207</v>
      </c>
      <c r="C5" s="22" t="s">
        <v>2209</v>
      </c>
      <c r="D5" s="22">
        <v>7084</v>
      </c>
      <c r="E5" s="22" t="s">
        <v>2203</v>
      </c>
      <c r="F5" s="20" t="s">
        <v>2176</v>
      </c>
      <c r="G5" s="21" t="s">
        <v>1414</v>
      </c>
      <c r="H5" s="23"/>
    </row>
    <row r="6" spans="1:8" ht="24" customHeight="1" x14ac:dyDescent="0.3">
      <c r="A6" s="22" t="s">
        <v>11</v>
      </c>
      <c r="B6" s="22" t="s">
        <v>2207</v>
      </c>
      <c r="C6" s="22" t="s">
        <v>2210</v>
      </c>
      <c r="D6" s="22">
        <v>7085</v>
      </c>
      <c r="E6" s="22" t="s">
        <v>2203</v>
      </c>
      <c r="F6" s="20" t="s">
        <v>2176</v>
      </c>
      <c r="G6" s="21" t="s">
        <v>1414</v>
      </c>
      <c r="H6" s="23"/>
    </row>
    <row r="7" spans="1:8" ht="24" customHeight="1" x14ac:dyDescent="0.3">
      <c r="A7" s="22" t="s">
        <v>24</v>
      </c>
      <c r="B7" s="22" t="s">
        <v>2207</v>
      </c>
      <c r="C7" s="22" t="s">
        <v>2211</v>
      </c>
      <c r="D7" s="22">
        <v>7086</v>
      </c>
      <c r="E7" s="22" t="s">
        <v>2203</v>
      </c>
      <c r="F7" s="20" t="s">
        <v>2176</v>
      </c>
      <c r="G7" s="21" t="s">
        <v>1414</v>
      </c>
      <c r="H7" s="23"/>
    </row>
    <row r="8" spans="1:8" ht="24" customHeight="1" x14ac:dyDescent="0.3">
      <c r="A8" s="22" t="s">
        <v>18</v>
      </c>
      <c r="B8" s="22" t="s">
        <v>2207</v>
      </c>
      <c r="C8" s="22" t="s">
        <v>2212</v>
      </c>
      <c r="D8" s="22">
        <v>7088</v>
      </c>
      <c r="E8" s="22" t="s">
        <v>2203</v>
      </c>
      <c r="F8" s="20" t="s">
        <v>2176</v>
      </c>
      <c r="G8" s="21" t="s">
        <v>1414</v>
      </c>
      <c r="H8" s="23"/>
    </row>
    <row r="9" spans="1:8" ht="24" customHeight="1" x14ac:dyDescent="0.3">
      <c r="A9" s="57" t="s">
        <v>158</v>
      </c>
      <c r="B9" s="22" t="s">
        <v>2213</v>
      </c>
      <c r="C9" s="22" t="s">
        <v>2214</v>
      </c>
      <c r="D9" s="22">
        <v>7090</v>
      </c>
      <c r="E9" s="22" t="s">
        <v>2203</v>
      </c>
      <c r="F9" s="20" t="s">
        <v>2176</v>
      </c>
      <c r="G9" s="21" t="s">
        <v>1414</v>
      </c>
      <c r="H9" s="23"/>
    </row>
    <row r="10" spans="1:8" ht="24" customHeight="1" x14ac:dyDescent="0.3">
      <c r="A10" s="26" t="s">
        <v>521</v>
      </c>
      <c r="B10" s="26" t="s">
        <v>2215</v>
      </c>
      <c r="C10" s="26" t="s">
        <v>2216</v>
      </c>
      <c r="D10" s="26">
        <v>7051</v>
      </c>
      <c r="E10" s="26" t="s">
        <v>2203</v>
      </c>
      <c r="F10" s="24" t="s">
        <v>2176</v>
      </c>
      <c r="G10" s="25" t="s">
        <v>1450</v>
      </c>
      <c r="H10" s="27"/>
    </row>
    <row r="11" spans="1:8" ht="24" customHeight="1" x14ac:dyDescent="0.3">
      <c r="A11" s="26" t="s">
        <v>13</v>
      </c>
      <c r="B11" s="26" t="s">
        <v>2217</v>
      </c>
      <c r="C11" s="26" t="s">
        <v>2218</v>
      </c>
      <c r="D11" s="26">
        <v>7052</v>
      </c>
      <c r="E11" s="26" t="s">
        <v>2203</v>
      </c>
      <c r="F11" s="24" t="s">
        <v>2176</v>
      </c>
      <c r="G11" s="25" t="s">
        <v>1450</v>
      </c>
      <c r="H11" s="27"/>
    </row>
    <row r="12" spans="1:8" ht="24" customHeight="1" x14ac:dyDescent="0.3">
      <c r="A12" s="26" t="s">
        <v>20</v>
      </c>
      <c r="B12" s="26" t="s">
        <v>2219</v>
      </c>
      <c r="C12" s="26" t="s">
        <v>2220</v>
      </c>
      <c r="D12" s="26">
        <v>7181</v>
      </c>
      <c r="E12" s="26" t="s">
        <v>2203</v>
      </c>
      <c r="F12" s="24" t="s">
        <v>2176</v>
      </c>
      <c r="G12" s="25" t="s">
        <v>1450</v>
      </c>
      <c r="H12" s="27"/>
    </row>
    <row r="13" spans="1:8" ht="24" customHeight="1" x14ac:dyDescent="0.3">
      <c r="A13" s="26" t="s">
        <v>27</v>
      </c>
      <c r="B13" s="26" t="s">
        <v>2219</v>
      </c>
      <c r="C13" s="26" t="s">
        <v>2221</v>
      </c>
      <c r="D13" s="26">
        <v>7182</v>
      </c>
      <c r="E13" s="26" t="s">
        <v>2203</v>
      </c>
      <c r="F13" s="24" t="s">
        <v>2176</v>
      </c>
      <c r="G13" s="25" t="s">
        <v>1450</v>
      </c>
      <c r="H13" s="27"/>
    </row>
    <row r="14" spans="1:8" ht="24" customHeight="1" x14ac:dyDescent="0.3">
      <c r="A14" s="26" t="s">
        <v>15</v>
      </c>
      <c r="B14" s="26" t="s">
        <v>2222</v>
      </c>
      <c r="C14" s="26" t="s">
        <v>2223</v>
      </c>
      <c r="D14" s="26">
        <v>7183</v>
      </c>
      <c r="E14" s="26" t="s">
        <v>2203</v>
      </c>
      <c r="F14" s="24" t="s">
        <v>2176</v>
      </c>
      <c r="G14" s="25" t="s">
        <v>1450</v>
      </c>
      <c r="H14" s="27"/>
    </row>
    <row r="15" spans="1:8" ht="24" hidden="1" customHeight="1" x14ac:dyDescent="0.3">
      <c r="A15" s="26" t="s">
        <v>2224</v>
      </c>
      <c r="B15" s="26" t="s">
        <v>2225</v>
      </c>
      <c r="C15" s="26" t="e">
        <v>#N/A</v>
      </c>
      <c r="D15" s="26">
        <v>7301</v>
      </c>
      <c r="E15" s="26" t="s">
        <v>2203</v>
      </c>
      <c r="F15" s="24" t="s">
        <v>2176</v>
      </c>
      <c r="G15" s="25" t="s">
        <v>1450</v>
      </c>
      <c r="H15" s="27" t="s">
        <v>2226</v>
      </c>
    </row>
    <row r="16" spans="1:8" ht="24" hidden="1" customHeight="1" x14ac:dyDescent="0.3">
      <c r="A16" s="26" t="s">
        <v>2227</v>
      </c>
      <c r="B16" s="26" t="s">
        <v>2228</v>
      </c>
      <c r="C16" s="26" t="e">
        <v>#N/A</v>
      </c>
      <c r="D16" s="26">
        <v>7305</v>
      </c>
      <c r="E16" s="26" t="s">
        <v>2203</v>
      </c>
      <c r="F16" s="24" t="s">
        <v>2176</v>
      </c>
      <c r="G16" s="25" t="s">
        <v>1450</v>
      </c>
      <c r="H16" s="27" t="s">
        <v>2229</v>
      </c>
    </row>
    <row r="17" spans="1:8" ht="24" hidden="1" customHeight="1" x14ac:dyDescent="0.3">
      <c r="A17" s="26" t="s">
        <v>2230</v>
      </c>
      <c r="B17" s="26" t="s">
        <v>2228</v>
      </c>
      <c r="C17" s="26" t="e">
        <v>#N/A</v>
      </c>
      <c r="D17" s="26">
        <v>7306</v>
      </c>
      <c r="E17" s="26" t="s">
        <v>2203</v>
      </c>
      <c r="F17" s="24" t="s">
        <v>2176</v>
      </c>
      <c r="G17" s="25" t="s">
        <v>1450</v>
      </c>
      <c r="H17" s="27" t="s">
        <v>2231</v>
      </c>
    </row>
    <row r="18" spans="1:8" ht="24" hidden="1" customHeight="1" x14ac:dyDescent="0.3">
      <c r="A18" s="26" t="s">
        <v>2232</v>
      </c>
      <c r="B18" s="26" t="s">
        <v>2225</v>
      </c>
      <c r="C18" s="26" t="e">
        <v>#N/A</v>
      </c>
      <c r="D18" s="26">
        <v>7311</v>
      </c>
      <c r="E18" s="26" t="s">
        <v>2203</v>
      </c>
      <c r="F18" s="24" t="s">
        <v>2176</v>
      </c>
      <c r="G18" s="25" t="s">
        <v>1450</v>
      </c>
      <c r="H18" s="27" t="s">
        <v>2233</v>
      </c>
    </row>
    <row r="19" spans="1:8" ht="24" hidden="1" customHeight="1" x14ac:dyDescent="0.3">
      <c r="A19" s="26" t="s">
        <v>2234</v>
      </c>
      <c r="B19" s="26" t="s">
        <v>2228</v>
      </c>
      <c r="C19" s="26" t="e">
        <v>#N/A</v>
      </c>
      <c r="D19" s="26">
        <v>7312</v>
      </c>
      <c r="E19" s="26" t="s">
        <v>2203</v>
      </c>
      <c r="F19" s="24" t="s">
        <v>2176</v>
      </c>
      <c r="G19" s="25" t="s">
        <v>1450</v>
      </c>
      <c r="H19" s="27" t="s">
        <v>2235</v>
      </c>
    </row>
    <row r="20" spans="1:8" ht="24" hidden="1" customHeight="1" x14ac:dyDescent="0.3">
      <c r="A20" s="26" t="s">
        <v>2236</v>
      </c>
      <c r="B20" s="26" t="s">
        <v>2237</v>
      </c>
      <c r="C20" s="26" t="e">
        <v>#N/A</v>
      </c>
      <c r="D20" s="26" t="s">
        <v>2238</v>
      </c>
      <c r="E20" s="26"/>
      <c r="F20" s="24" t="s">
        <v>2176</v>
      </c>
      <c r="G20" s="25" t="s">
        <v>1450</v>
      </c>
      <c r="H20" s="27" t="s">
        <v>2239</v>
      </c>
    </row>
    <row r="21" spans="1:8" ht="24" hidden="1" customHeight="1" x14ac:dyDescent="0.3">
      <c r="A21" s="26" t="s">
        <v>2240</v>
      </c>
      <c r="B21" s="26" t="s">
        <v>2241</v>
      </c>
      <c r="C21" s="26" t="e">
        <v>#N/A</v>
      </c>
      <c r="D21" s="26" t="s">
        <v>2242</v>
      </c>
      <c r="E21" s="26"/>
      <c r="F21" s="24" t="s">
        <v>2176</v>
      </c>
      <c r="G21" s="25" t="s">
        <v>1450</v>
      </c>
      <c r="H21" s="27" t="s">
        <v>2243</v>
      </c>
    </row>
    <row r="22" spans="1:8" ht="24" hidden="1" customHeight="1" x14ac:dyDescent="0.3">
      <c r="A22" s="26" t="s">
        <v>2244</v>
      </c>
      <c r="B22" s="26" t="s">
        <v>2241</v>
      </c>
      <c r="C22" s="26" t="e">
        <v>#N/A</v>
      </c>
      <c r="D22" s="26" t="s">
        <v>2245</v>
      </c>
      <c r="E22" s="26"/>
      <c r="F22" s="24" t="s">
        <v>2176</v>
      </c>
      <c r="G22" s="25" t="s">
        <v>1450</v>
      </c>
      <c r="H22" s="27" t="s">
        <v>2246</v>
      </c>
    </row>
    <row r="23" spans="1:8" ht="24" hidden="1" customHeight="1" x14ac:dyDescent="0.3">
      <c r="A23" s="26" t="s">
        <v>2247</v>
      </c>
      <c r="B23" s="26" t="s">
        <v>2237</v>
      </c>
      <c r="C23" s="26" t="e">
        <v>#N/A</v>
      </c>
      <c r="D23" s="26" t="s">
        <v>2248</v>
      </c>
      <c r="E23" s="26"/>
      <c r="F23" s="24" t="s">
        <v>2176</v>
      </c>
      <c r="G23" s="25" t="s">
        <v>1450</v>
      </c>
      <c r="H23" s="27" t="s">
        <v>2249</v>
      </c>
    </row>
    <row r="24" spans="1:8" ht="24" hidden="1" customHeight="1" x14ac:dyDescent="0.3">
      <c r="A24" s="26" t="s">
        <v>2250</v>
      </c>
      <c r="B24" s="26" t="s">
        <v>2225</v>
      </c>
      <c r="C24" s="26" t="e">
        <v>#N/A</v>
      </c>
      <c r="D24" s="26" t="s">
        <v>2248</v>
      </c>
      <c r="E24" s="26"/>
      <c r="F24" s="24" t="s">
        <v>2176</v>
      </c>
      <c r="G24" s="25" t="s">
        <v>1450</v>
      </c>
      <c r="H24" s="27" t="s">
        <v>2251</v>
      </c>
    </row>
    <row r="25" spans="1:8" ht="24" hidden="1" customHeight="1" x14ac:dyDescent="0.3">
      <c r="A25" s="26" t="s">
        <v>2252</v>
      </c>
      <c r="B25" s="26" t="s">
        <v>2237</v>
      </c>
      <c r="C25" s="26" t="e">
        <v>#N/A</v>
      </c>
      <c r="D25" s="26" t="s">
        <v>2253</v>
      </c>
      <c r="E25" s="26"/>
      <c r="F25" s="24" t="s">
        <v>2176</v>
      </c>
      <c r="G25" s="25" t="s">
        <v>1450</v>
      </c>
      <c r="H25" s="27" t="s">
        <v>2254</v>
      </c>
    </row>
    <row r="26" spans="1:8" ht="24" hidden="1" customHeight="1" x14ac:dyDescent="0.3">
      <c r="A26" s="26" t="s">
        <v>2255</v>
      </c>
      <c r="B26" s="26" t="s">
        <v>2237</v>
      </c>
      <c r="C26" s="26" t="e">
        <v>#N/A</v>
      </c>
      <c r="D26" s="26" t="s">
        <v>2256</v>
      </c>
      <c r="E26" s="26"/>
      <c r="F26" s="24" t="s">
        <v>2176</v>
      </c>
      <c r="G26" s="25" t="s">
        <v>1450</v>
      </c>
      <c r="H26" s="27" t="s">
        <v>2257</v>
      </c>
    </row>
    <row r="27" spans="1:8" ht="24" hidden="1" customHeight="1" x14ac:dyDescent="0.3">
      <c r="A27" s="26" t="s">
        <v>2258</v>
      </c>
      <c r="B27" s="26" t="s">
        <v>2237</v>
      </c>
      <c r="C27" s="26" t="e">
        <v>#N/A</v>
      </c>
      <c r="D27" s="26" t="s">
        <v>2259</v>
      </c>
      <c r="E27" s="26"/>
      <c r="F27" s="24" t="s">
        <v>2176</v>
      </c>
      <c r="G27" s="25" t="s">
        <v>1450</v>
      </c>
      <c r="H27" s="27" t="s">
        <v>2260</v>
      </c>
    </row>
    <row r="28" spans="1:8" ht="24" hidden="1" customHeight="1" x14ac:dyDescent="0.3">
      <c r="A28" s="26" t="s">
        <v>2261</v>
      </c>
      <c r="B28" s="26" t="s">
        <v>2225</v>
      </c>
      <c r="C28" s="26" t="e">
        <v>#N/A</v>
      </c>
      <c r="D28" s="26" t="s">
        <v>2259</v>
      </c>
      <c r="E28" s="26"/>
      <c r="F28" s="24" t="s">
        <v>2176</v>
      </c>
      <c r="G28" s="25" t="s">
        <v>1450</v>
      </c>
      <c r="H28" s="27" t="s">
        <v>2262</v>
      </c>
    </row>
    <row r="29" spans="1:8" ht="24" hidden="1" customHeight="1" x14ac:dyDescent="0.3">
      <c r="A29" s="26" t="s">
        <v>2263</v>
      </c>
      <c r="B29" s="26" t="s">
        <v>2237</v>
      </c>
      <c r="C29" s="26" t="e">
        <v>#N/A</v>
      </c>
      <c r="D29" s="26" t="s">
        <v>2264</v>
      </c>
      <c r="E29" s="26"/>
      <c r="F29" s="24" t="s">
        <v>2176</v>
      </c>
      <c r="G29" s="25" t="s">
        <v>1450</v>
      </c>
      <c r="H29" s="27" t="s">
        <v>2265</v>
      </c>
    </row>
    <row r="30" spans="1:8" ht="24" hidden="1" customHeight="1" x14ac:dyDescent="0.3">
      <c r="A30" s="26" t="s">
        <v>2266</v>
      </c>
      <c r="B30" s="26" t="s">
        <v>2228</v>
      </c>
      <c r="C30" s="26" t="e">
        <v>#N/A</v>
      </c>
      <c r="D30" s="26" t="s">
        <v>2259</v>
      </c>
      <c r="E30" s="26"/>
      <c r="F30" s="24" t="s">
        <v>2176</v>
      </c>
      <c r="G30" s="25" t="s">
        <v>1450</v>
      </c>
      <c r="H30" s="27" t="s">
        <v>2267</v>
      </c>
    </row>
    <row r="31" spans="1:8" ht="24" customHeight="1" x14ac:dyDescent="0.3">
      <c r="A31" s="22" t="s">
        <v>2268</v>
      </c>
      <c r="B31" s="22" t="s">
        <v>2269</v>
      </c>
      <c r="C31" s="22" t="s">
        <v>2270</v>
      </c>
      <c r="D31" s="22">
        <v>7070</v>
      </c>
      <c r="E31" s="22" t="s">
        <v>2203</v>
      </c>
      <c r="F31" s="20" t="s">
        <v>2176</v>
      </c>
      <c r="G31" s="21" t="s">
        <v>991</v>
      </c>
      <c r="H31" s="23"/>
    </row>
    <row r="32" spans="1:8" ht="24" customHeight="1" x14ac:dyDescent="0.3">
      <c r="A32" s="22" t="s">
        <v>21</v>
      </c>
      <c r="B32" s="22" t="s">
        <v>2271</v>
      </c>
      <c r="C32" s="22" t="s">
        <v>2272</v>
      </c>
      <c r="D32" s="22">
        <v>7075</v>
      </c>
      <c r="E32" s="22" t="s">
        <v>2203</v>
      </c>
      <c r="F32" s="20" t="s">
        <v>2176</v>
      </c>
      <c r="G32" s="21" t="s">
        <v>991</v>
      </c>
      <c r="H32" s="23"/>
    </row>
    <row r="33" spans="1:8" ht="24" customHeight="1" x14ac:dyDescent="0.3">
      <c r="A33" s="22" t="s">
        <v>25</v>
      </c>
      <c r="B33" s="22" t="s">
        <v>2273</v>
      </c>
      <c r="C33" s="22" t="s">
        <v>2274</v>
      </c>
      <c r="D33" s="22">
        <v>7076</v>
      </c>
      <c r="E33" s="22" t="s">
        <v>2203</v>
      </c>
      <c r="F33" s="20" t="s">
        <v>2176</v>
      </c>
      <c r="G33" s="21" t="s">
        <v>991</v>
      </c>
      <c r="H33" s="23"/>
    </row>
    <row r="34" spans="1:8" ht="24" customHeight="1" x14ac:dyDescent="0.3">
      <c r="A34" s="22" t="s">
        <v>14</v>
      </c>
      <c r="B34" s="22" t="s">
        <v>2275</v>
      </c>
      <c r="C34" s="22" t="s">
        <v>2276</v>
      </c>
      <c r="D34" s="22">
        <v>7077</v>
      </c>
      <c r="E34" s="22" t="s">
        <v>2203</v>
      </c>
      <c r="F34" s="20" t="s">
        <v>2176</v>
      </c>
      <c r="G34" s="21" t="s">
        <v>991</v>
      </c>
      <c r="H34" s="23"/>
    </row>
    <row r="35" spans="1:8" ht="24" hidden="1" customHeight="1" x14ac:dyDescent="0.3">
      <c r="A35" s="22" t="s">
        <v>2277</v>
      </c>
      <c r="B35" s="22" t="s">
        <v>2273</v>
      </c>
      <c r="C35" s="22" t="e">
        <v>#N/A</v>
      </c>
      <c r="D35" s="22" t="s">
        <v>2278</v>
      </c>
      <c r="E35" s="22"/>
      <c r="F35" s="20" t="s">
        <v>2176</v>
      </c>
      <c r="G35" s="21" t="s">
        <v>991</v>
      </c>
      <c r="H35" s="23" t="s">
        <v>2246</v>
      </c>
    </row>
    <row r="36" spans="1:8" ht="24" hidden="1" customHeight="1" x14ac:dyDescent="0.3">
      <c r="A36" s="22" t="s">
        <v>2279</v>
      </c>
      <c r="B36" s="22" t="s">
        <v>2273</v>
      </c>
      <c r="C36" s="22" t="e">
        <v>#N/A</v>
      </c>
      <c r="D36" s="22" t="s">
        <v>2280</v>
      </c>
      <c r="E36" s="22"/>
      <c r="F36" s="20" t="s">
        <v>2176</v>
      </c>
      <c r="G36" s="21" t="s">
        <v>991</v>
      </c>
      <c r="H36" s="23" t="s">
        <v>2281</v>
      </c>
    </row>
    <row r="37" spans="1:8" ht="24" customHeight="1" x14ac:dyDescent="0.3">
      <c r="A37" s="30" t="s">
        <v>2282</v>
      </c>
      <c r="B37" s="30" t="s">
        <v>2283</v>
      </c>
      <c r="C37" s="30" t="s">
        <v>2284</v>
      </c>
      <c r="D37" s="30">
        <v>7060</v>
      </c>
      <c r="E37" s="30" t="s">
        <v>2203</v>
      </c>
      <c r="F37" s="28" t="s">
        <v>2176</v>
      </c>
      <c r="G37" s="29" t="s">
        <v>2285</v>
      </c>
      <c r="H37" s="31"/>
    </row>
    <row r="38" spans="1:8" ht="24" customHeight="1" x14ac:dyDescent="0.3">
      <c r="A38" s="30" t="s">
        <v>221</v>
      </c>
      <c r="B38" s="30" t="s">
        <v>2286</v>
      </c>
      <c r="C38" s="30" t="s">
        <v>2287</v>
      </c>
      <c r="D38" s="30">
        <v>7062</v>
      </c>
      <c r="E38" s="30" t="s">
        <v>2203</v>
      </c>
      <c r="F38" s="28" t="s">
        <v>2176</v>
      </c>
      <c r="G38" s="29" t="s">
        <v>2285</v>
      </c>
      <c r="H38" s="31"/>
    </row>
    <row r="39" spans="1:8" ht="24" hidden="1" customHeight="1" x14ac:dyDescent="0.3">
      <c r="A39" s="30" t="s">
        <v>2288</v>
      </c>
      <c r="B39" s="30" t="s">
        <v>2289</v>
      </c>
      <c r="C39" s="30" t="e">
        <v>#N/A</v>
      </c>
      <c r="D39" s="30">
        <v>7065</v>
      </c>
      <c r="E39" s="30" t="s">
        <v>2203</v>
      </c>
      <c r="F39" s="28" t="s">
        <v>2176</v>
      </c>
      <c r="G39" s="29" t="s">
        <v>2285</v>
      </c>
      <c r="H39" s="31"/>
    </row>
    <row r="40" spans="1:8" ht="24" customHeight="1" x14ac:dyDescent="0.3">
      <c r="A40" s="30" t="s">
        <v>28</v>
      </c>
      <c r="B40" s="30" t="s">
        <v>2289</v>
      </c>
      <c r="C40" s="30" t="s">
        <v>2290</v>
      </c>
      <c r="D40" s="30">
        <v>7066</v>
      </c>
      <c r="E40" s="30" t="s">
        <v>2203</v>
      </c>
      <c r="F40" s="28" t="s">
        <v>2176</v>
      </c>
      <c r="G40" s="29" t="s">
        <v>2285</v>
      </c>
      <c r="H40" s="31"/>
    </row>
    <row r="41" spans="1:8" ht="24" customHeight="1" x14ac:dyDescent="0.3">
      <c r="A41" s="30" t="s">
        <v>26</v>
      </c>
      <c r="B41" s="30" t="s">
        <v>2291</v>
      </c>
      <c r="C41" s="30" t="s">
        <v>2292</v>
      </c>
      <c r="D41" s="30">
        <v>7067</v>
      </c>
      <c r="E41" s="30" t="s">
        <v>2203</v>
      </c>
      <c r="F41" s="28" t="s">
        <v>2176</v>
      </c>
      <c r="G41" s="29" t="s">
        <v>2285</v>
      </c>
      <c r="H41" s="31"/>
    </row>
    <row r="42" spans="1:8" ht="24" hidden="1" customHeight="1" x14ac:dyDescent="0.3">
      <c r="A42" s="30" t="s">
        <v>2293</v>
      </c>
      <c r="B42" s="30" t="s">
        <v>2219</v>
      </c>
      <c r="C42" s="30" t="e">
        <v>#N/A</v>
      </c>
      <c r="D42" s="30">
        <v>7270</v>
      </c>
      <c r="E42" s="30" t="s">
        <v>2203</v>
      </c>
      <c r="F42" s="28" t="s">
        <v>2176</v>
      </c>
      <c r="G42" s="29" t="s">
        <v>2285</v>
      </c>
      <c r="H42" s="31"/>
    </row>
    <row r="43" spans="1:8" ht="24" hidden="1" customHeight="1" x14ac:dyDescent="0.3">
      <c r="A43" s="30" t="s">
        <v>2294</v>
      </c>
      <c r="B43" s="30" t="s">
        <v>2295</v>
      </c>
      <c r="C43" s="30" t="e">
        <v>#N/A</v>
      </c>
      <c r="D43" s="30">
        <v>7271</v>
      </c>
      <c r="E43" s="30" t="s">
        <v>2203</v>
      </c>
      <c r="F43" s="28" t="s">
        <v>2176</v>
      </c>
      <c r="G43" s="29" t="s">
        <v>2285</v>
      </c>
      <c r="H43" s="31"/>
    </row>
    <row r="44" spans="1:8" ht="24" hidden="1" customHeight="1" x14ac:dyDescent="0.3">
      <c r="A44" s="30" t="s">
        <v>2296</v>
      </c>
      <c r="B44" s="30" t="s">
        <v>2297</v>
      </c>
      <c r="C44" s="30" t="e">
        <v>#N/A</v>
      </c>
      <c r="D44" s="30">
        <v>7273</v>
      </c>
      <c r="E44" s="30" t="s">
        <v>2203</v>
      </c>
      <c r="F44" s="28" t="s">
        <v>2176</v>
      </c>
      <c r="G44" s="29" t="s">
        <v>2285</v>
      </c>
      <c r="H44" s="31"/>
    </row>
    <row r="45" spans="1:8" ht="24" hidden="1" customHeight="1" x14ac:dyDescent="0.3">
      <c r="A45" s="30" t="s">
        <v>2298</v>
      </c>
      <c r="B45" s="30" t="s">
        <v>2299</v>
      </c>
      <c r="C45" s="30" t="e">
        <v>#N/A</v>
      </c>
      <c r="D45" s="30">
        <v>7275</v>
      </c>
      <c r="E45" s="30" t="s">
        <v>2203</v>
      </c>
      <c r="F45" s="28" t="s">
        <v>2176</v>
      </c>
      <c r="G45" s="29" t="s">
        <v>2285</v>
      </c>
      <c r="H45" s="31"/>
    </row>
    <row r="46" spans="1:8" ht="24" hidden="1" customHeight="1" x14ac:dyDescent="0.3">
      <c r="A46" s="30" t="s">
        <v>2300</v>
      </c>
      <c r="B46" s="30" t="s">
        <v>2291</v>
      </c>
      <c r="C46" s="30" t="e">
        <v>#N/A</v>
      </c>
      <c r="D46" s="30">
        <v>7276</v>
      </c>
      <c r="E46" s="30" t="s">
        <v>2203</v>
      </c>
      <c r="F46" s="28" t="s">
        <v>2176</v>
      </c>
      <c r="G46" s="29" t="s">
        <v>2285</v>
      </c>
      <c r="H46" s="31"/>
    </row>
    <row r="47" spans="1:8" ht="24" hidden="1" customHeight="1" x14ac:dyDescent="0.3">
      <c r="A47" s="30" t="s">
        <v>2301</v>
      </c>
      <c r="B47" s="30" t="s">
        <v>2302</v>
      </c>
      <c r="C47" s="30" t="e">
        <v>#N/A</v>
      </c>
      <c r="D47" s="30">
        <v>7277</v>
      </c>
      <c r="E47" s="30" t="s">
        <v>2203</v>
      </c>
      <c r="F47" s="28" t="s">
        <v>2176</v>
      </c>
      <c r="G47" s="29" t="s">
        <v>2285</v>
      </c>
      <c r="H47" s="31"/>
    </row>
    <row r="48" spans="1:8" ht="24" hidden="1" customHeight="1" x14ac:dyDescent="0.3">
      <c r="A48" s="30" t="s">
        <v>553</v>
      </c>
      <c r="B48" s="30" t="s">
        <v>2303</v>
      </c>
      <c r="C48" s="30" t="e">
        <v>#N/A</v>
      </c>
      <c r="D48" s="30">
        <v>7279</v>
      </c>
      <c r="E48" s="30" t="s">
        <v>2203</v>
      </c>
      <c r="F48" s="28" t="s">
        <v>2176</v>
      </c>
      <c r="G48" s="29" t="s">
        <v>2285</v>
      </c>
      <c r="H48" s="31"/>
    </row>
    <row r="49" spans="1:8" ht="24" hidden="1" customHeight="1" x14ac:dyDescent="0.3">
      <c r="A49" s="30" t="s">
        <v>2304</v>
      </c>
      <c r="B49" s="30" t="s">
        <v>2302</v>
      </c>
      <c r="C49" s="30" t="e">
        <v>#N/A</v>
      </c>
      <c r="D49" s="30" t="s">
        <v>2305</v>
      </c>
      <c r="E49" s="30"/>
      <c r="F49" s="28" t="s">
        <v>2176</v>
      </c>
      <c r="G49" s="29" t="s">
        <v>2285</v>
      </c>
      <c r="H49" s="31" t="s">
        <v>2306</v>
      </c>
    </row>
    <row r="50" spans="1:8" ht="24" hidden="1" customHeight="1" x14ac:dyDescent="0.3">
      <c r="A50" s="30" t="s">
        <v>2307</v>
      </c>
      <c r="B50" s="30" t="s">
        <v>2308</v>
      </c>
      <c r="C50" s="30" t="e">
        <v>#N/A</v>
      </c>
      <c r="D50" s="30" t="s">
        <v>2309</v>
      </c>
      <c r="E50" s="30"/>
      <c r="F50" s="28" t="s">
        <v>2176</v>
      </c>
      <c r="G50" s="29" t="s">
        <v>2285</v>
      </c>
      <c r="H50" s="31" t="s">
        <v>2243</v>
      </c>
    </row>
    <row r="51" spans="1:8" ht="24" hidden="1" customHeight="1" x14ac:dyDescent="0.3">
      <c r="A51" s="30" t="s">
        <v>2310</v>
      </c>
      <c r="B51" s="30" t="s">
        <v>2295</v>
      </c>
      <c r="C51" s="30" t="e">
        <v>#N/A</v>
      </c>
      <c r="D51" s="30" t="s">
        <v>2311</v>
      </c>
      <c r="E51" s="30"/>
      <c r="F51" s="28" t="s">
        <v>2176</v>
      </c>
      <c r="G51" s="29" t="s">
        <v>2285</v>
      </c>
      <c r="H51" s="31" t="s">
        <v>2246</v>
      </c>
    </row>
    <row r="52" spans="1:8" ht="24" hidden="1" customHeight="1" x14ac:dyDescent="0.3">
      <c r="A52" s="30" t="s">
        <v>2312</v>
      </c>
      <c r="B52" s="30" t="s">
        <v>2297</v>
      </c>
      <c r="C52" s="30" t="e">
        <v>#N/A</v>
      </c>
      <c r="D52" s="30" t="s">
        <v>2309</v>
      </c>
      <c r="E52" s="30"/>
      <c r="F52" s="28" t="s">
        <v>2176</v>
      </c>
      <c r="G52" s="29" t="s">
        <v>2285</v>
      </c>
      <c r="H52" s="31" t="s">
        <v>2243</v>
      </c>
    </row>
    <row r="53" spans="1:8" ht="24" hidden="1" customHeight="1" x14ac:dyDescent="0.3">
      <c r="A53" s="30" t="s">
        <v>2313</v>
      </c>
      <c r="B53" s="30" t="s">
        <v>2299</v>
      </c>
      <c r="C53" s="30" t="e">
        <v>#N/A</v>
      </c>
      <c r="D53" s="30" t="s">
        <v>2314</v>
      </c>
      <c r="E53" s="30"/>
      <c r="F53" s="28" t="s">
        <v>2176</v>
      </c>
      <c r="G53" s="29" t="s">
        <v>2285</v>
      </c>
      <c r="H53" s="31" t="s">
        <v>2315</v>
      </c>
    </row>
    <row r="54" spans="1:8" ht="24" hidden="1" customHeight="1" x14ac:dyDescent="0.3">
      <c r="A54" s="30" t="s">
        <v>2316</v>
      </c>
      <c r="B54" s="30" t="s">
        <v>2299</v>
      </c>
      <c r="C54" s="30" t="e">
        <v>#N/A</v>
      </c>
      <c r="D54" s="30" t="s">
        <v>2311</v>
      </c>
      <c r="E54" s="30"/>
      <c r="F54" s="28" t="s">
        <v>2176</v>
      </c>
      <c r="G54" s="29" t="s">
        <v>2285</v>
      </c>
      <c r="H54" s="31" t="s">
        <v>2246</v>
      </c>
    </row>
    <row r="55" spans="1:8" ht="24" hidden="1" customHeight="1" x14ac:dyDescent="0.3">
      <c r="A55" s="30" t="s">
        <v>2317</v>
      </c>
      <c r="B55" s="30" t="s">
        <v>2299</v>
      </c>
      <c r="C55" s="30" t="e">
        <v>#N/A</v>
      </c>
      <c r="D55" s="30" t="s">
        <v>2309</v>
      </c>
      <c r="E55" s="30"/>
      <c r="F55" s="28" t="s">
        <v>2176</v>
      </c>
      <c r="G55" s="29" t="s">
        <v>2285</v>
      </c>
      <c r="H55" s="31" t="s">
        <v>2243</v>
      </c>
    </row>
    <row r="56" spans="1:8" ht="24" hidden="1" customHeight="1" x14ac:dyDescent="0.3">
      <c r="A56" s="30" t="s">
        <v>2318</v>
      </c>
      <c r="B56" s="30" t="s">
        <v>2219</v>
      </c>
      <c r="C56" s="30" t="e">
        <v>#N/A</v>
      </c>
      <c r="D56" s="30" t="s">
        <v>2309</v>
      </c>
      <c r="E56" s="30"/>
      <c r="F56" s="28" t="s">
        <v>2176</v>
      </c>
      <c r="G56" s="29" t="s">
        <v>2285</v>
      </c>
      <c r="H56" s="31" t="s">
        <v>2243</v>
      </c>
    </row>
    <row r="57" spans="1:8" ht="24" hidden="1" customHeight="1" thickBot="1" x14ac:dyDescent="0.35">
      <c r="A57" s="34" t="s">
        <v>2319</v>
      </c>
      <c r="B57" s="34" t="s">
        <v>2299</v>
      </c>
      <c r="C57" s="34" t="e">
        <v>#N/A</v>
      </c>
      <c r="D57" s="34" t="s">
        <v>2320</v>
      </c>
      <c r="E57" s="34"/>
      <c r="F57" s="32" t="s">
        <v>2176</v>
      </c>
      <c r="G57" s="33" t="s">
        <v>2285</v>
      </c>
      <c r="H57" s="35" t="s">
        <v>2281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78" bestFit="1" customWidth="1"/>
    <col min="2" max="2" width="9.8984375" style="278" bestFit="1" customWidth="1"/>
    <col min="3" max="3" width="5.69921875" style="278" bestFit="1" customWidth="1"/>
    <col min="4" max="4" width="10" style="278" bestFit="1" customWidth="1"/>
    <col min="5" max="5" width="5.69921875" style="278" bestFit="1" customWidth="1"/>
    <col min="6" max="6" width="10.09765625" style="278" bestFit="1" customWidth="1"/>
    <col min="7" max="7" width="5.69921875" style="278" bestFit="1" customWidth="1"/>
    <col min="8" max="8" width="9.69921875" style="278" bestFit="1" customWidth="1"/>
    <col min="9" max="9" width="5.69921875" style="278" bestFit="1" customWidth="1"/>
    <col min="10" max="10" width="10" style="278" bestFit="1" customWidth="1"/>
    <col min="11" max="11" width="5.69921875" style="278" bestFit="1" customWidth="1"/>
    <col min="12" max="12" width="10.19921875" style="278" bestFit="1" customWidth="1"/>
    <col min="13" max="13" width="5.69921875" style="278" bestFit="1" customWidth="1"/>
    <col min="14" max="14" width="10" style="278" bestFit="1" customWidth="1"/>
    <col min="15" max="15" width="5.69921875" style="278" bestFit="1" customWidth="1"/>
    <col min="16" max="16" width="10.19921875" style="278" bestFit="1" customWidth="1"/>
    <col min="17" max="17" width="5.69921875" style="278" bestFit="1" customWidth="1"/>
    <col min="18" max="18" width="10" style="278" bestFit="1" customWidth="1"/>
    <col min="19" max="19" width="5.69921875" style="278" bestFit="1" customWidth="1"/>
    <col min="20" max="20" width="10.09765625" style="278" bestFit="1" customWidth="1"/>
    <col min="21" max="21" width="5.69921875" style="278" bestFit="1" customWidth="1"/>
    <col min="22" max="22" width="9.59765625" style="278" bestFit="1" customWidth="1"/>
    <col min="23" max="23" width="5.69921875" style="278" bestFit="1" customWidth="1"/>
    <col min="24" max="24" width="8.59765625" style="278" bestFit="1" customWidth="1"/>
    <col min="25" max="25" width="5.69921875" style="278" bestFit="1" customWidth="1"/>
    <col min="26" max="26" width="9" style="278" bestFit="1" customWidth="1"/>
    <col min="27" max="27" width="5.69921875" style="278" bestFit="1" customWidth="1"/>
    <col min="28" max="28" width="8.8984375" style="278" bestFit="1" customWidth="1"/>
    <col min="29" max="29" width="5.69921875" style="278" bestFit="1" customWidth="1"/>
    <col min="30" max="30" width="9.09765625" style="278" bestFit="1" customWidth="1"/>
    <col min="31" max="31" width="5.69921875" style="278" bestFit="1" customWidth="1"/>
    <col min="32" max="32" width="9.09765625" style="278" bestFit="1" customWidth="1"/>
    <col min="33" max="33" width="5.69921875" style="278" bestFit="1" customWidth="1"/>
    <col min="34" max="34" width="9.59765625" style="278" bestFit="1" customWidth="1"/>
    <col min="35" max="35" width="5.69921875" style="278" bestFit="1" customWidth="1"/>
    <col min="36" max="36" width="10.3984375" style="278" bestFit="1" customWidth="1"/>
    <col min="37" max="37" width="5.69921875" style="278" bestFit="1" customWidth="1"/>
    <col min="38" max="38" width="9.69921875" style="278" bestFit="1" customWidth="1"/>
    <col min="39" max="39" width="5.69921875" style="278" bestFit="1" customWidth="1"/>
    <col min="40" max="40" width="9.69921875" style="278" bestFit="1" customWidth="1"/>
    <col min="41" max="41" width="5.69921875" style="278" bestFit="1" customWidth="1"/>
    <col min="42" max="42" width="9.59765625" style="278" bestFit="1" customWidth="1"/>
    <col min="43" max="43" width="5.69921875" style="278" bestFit="1" customWidth="1"/>
    <col min="44" max="44" width="10" style="278" bestFit="1" customWidth="1"/>
    <col min="45" max="45" width="5.69921875" style="278" bestFit="1" customWidth="1"/>
    <col min="46" max="46" width="10.19921875" style="278" bestFit="1" customWidth="1"/>
    <col min="47" max="47" width="5.69921875" style="278" bestFit="1" customWidth="1"/>
    <col min="48" max="48" width="10.19921875" style="278" bestFit="1" customWidth="1"/>
    <col min="49" max="49" width="5.69921875" style="278" bestFit="1" customWidth="1"/>
    <col min="50" max="50" width="10" style="278" bestFit="1" customWidth="1"/>
    <col min="51" max="51" width="5.69921875" style="278" bestFit="1" customWidth="1"/>
    <col min="52" max="52" width="9.69921875" style="278" bestFit="1" customWidth="1"/>
    <col min="53" max="53" width="5.69921875" style="278" bestFit="1" customWidth="1"/>
    <col min="54" max="54" width="10" style="278" bestFit="1" customWidth="1"/>
    <col min="55" max="55" width="5.69921875" style="278" bestFit="1" customWidth="1"/>
    <col min="56" max="56" width="10.19921875" style="278" bestFit="1" customWidth="1"/>
    <col min="57" max="57" width="5.69921875" style="278" bestFit="1" customWidth="1"/>
    <col min="58" max="58" width="10.09765625" style="278" bestFit="1" customWidth="1"/>
    <col min="59" max="59" width="5.69921875" style="278" bestFit="1" customWidth="1"/>
    <col min="60" max="60" width="9.69921875" style="278" bestFit="1" customWidth="1"/>
    <col min="61" max="61" width="5.69921875" style="278" bestFit="1" customWidth="1"/>
    <col min="62" max="62" width="9.19921875" style="278" bestFit="1" customWidth="1"/>
    <col min="63" max="63" width="5.69921875" style="278" bestFit="1" customWidth="1"/>
    <col min="64" max="64" width="10.8984375" style="278" bestFit="1" customWidth="1"/>
    <col min="65" max="65" width="5.69921875" style="278" bestFit="1" customWidth="1"/>
    <col min="66" max="66" width="9.59765625" style="278" bestFit="1" customWidth="1"/>
    <col min="67" max="67" width="5.69921875" style="278" bestFit="1" customWidth="1"/>
    <col min="68" max="68" width="9.69921875" style="278" bestFit="1" customWidth="1"/>
    <col min="69" max="69" width="5.69921875" style="278" bestFit="1" customWidth="1"/>
    <col min="70" max="70" width="10.19921875" style="278" bestFit="1" customWidth="1"/>
    <col min="71" max="71" width="5.69921875" style="278" bestFit="1" customWidth="1"/>
    <col min="72" max="72" width="10.5" style="278" bestFit="1" customWidth="1"/>
    <col min="73" max="73" width="5.69921875" style="278" bestFit="1" customWidth="1"/>
    <col min="74" max="74" width="10.5" style="278" bestFit="1" customWidth="1"/>
    <col min="75" max="75" width="5.69921875" style="278" bestFit="1" customWidth="1"/>
    <col min="76" max="76" width="10.3984375" style="278" bestFit="1" customWidth="1"/>
    <col min="77" max="77" width="5.69921875" style="278" bestFit="1" customWidth="1"/>
    <col min="78" max="78" width="11" style="278" bestFit="1" customWidth="1"/>
    <col min="79" max="79" width="5.69921875" style="278" bestFit="1" customWidth="1"/>
    <col min="80" max="80" width="10.69921875" style="278" bestFit="1" customWidth="1"/>
    <col min="81" max="81" width="5.69921875" style="278" bestFit="1" customWidth="1"/>
    <col min="82" max="82" width="10.69921875" style="278" bestFit="1" customWidth="1"/>
    <col min="83" max="83" width="5.69921875" style="278" bestFit="1" customWidth="1"/>
    <col min="84" max="84" width="11" style="278" bestFit="1" customWidth="1"/>
    <col min="85" max="85" width="5.69921875" style="278" bestFit="1" customWidth="1"/>
    <col min="86" max="86" width="9.19921875" style="278" bestFit="1" customWidth="1"/>
    <col min="87" max="87" width="5.69921875" style="278" bestFit="1" customWidth="1"/>
    <col min="88" max="88" width="10.3984375" style="278" bestFit="1" customWidth="1"/>
    <col min="89" max="89" width="5.69921875" style="278" bestFit="1" customWidth="1"/>
    <col min="90" max="90" width="9.09765625" style="278" bestFit="1" customWidth="1"/>
    <col min="91" max="91" width="5.69921875" style="278" bestFit="1" customWidth="1"/>
    <col min="92" max="92" width="11" style="278" bestFit="1" customWidth="1"/>
    <col min="93" max="93" width="5.69921875" style="278" bestFit="1" customWidth="1"/>
    <col min="94" max="94" width="9.19921875" style="278" bestFit="1" customWidth="1"/>
    <col min="95" max="95" width="5.69921875" style="278" bestFit="1" customWidth="1"/>
    <col min="96" max="96" width="9.09765625" style="278" bestFit="1" customWidth="1"/>
    <col min="97" max="97" width="5.69921875" style="278" bestFit="1" customWidth="1"/>
    <col min="98" max="98" width="9.59765625" style="278" bestFit="1" customWidth="1"/>
    <col min="99" max="99" width="5.69921875" style="278" bestFit="1" customWidth="1"/>
    <col min="100" max="100" width="10" style="278" bestFit="1" customWidth="1"/>
    <col min="101" max="101" width="5.69921875" style="278" bestFit="1" customWidth="1"/>
    <col min="102" max="102" width="9.5" style="278" bestFit="1" customWidth="1"/>
    <col min="103" max="103" width="5.69921875" style="278" bestFit="1" customWidth="1"/>
    <col min="104" max="104" width="10" style="278" bestFit="1" customWidth="1"/>
    <col min="105" max="105" width="5.69921875" style="278" bestFit="1" customWidth="1"/>
    <col min="106" max="106" width="9.69921875" style="278" bestFit="1" customWidth="1"/>
    <col min="107" max="107" width="5.69921875" style="278" bestFit="1" customWidth="1"/>
    <col min="108" max="108" width="10.19921875" style="278" bestFit="1" customWidth="1"/>
    <col min="109" max="109" width="5.69921875" style="278" bestFit="1" customWidth="1"/>
    <col min="110" max="110" width="10" style="278" bestFit="1" customWidth="1"/>
    <col min="111" max="111" width="5.69921875" style="278" bestFit="1" customWidth="1"/>
    <col min="112" max="112" width="10.3984375" style="278" bestFit="1" customWidth="1"/>
    <col min="113" max="113" width="5.69921875" style="278" bestFit="1" customWidth="1"/>
    <col min="114" max="115" width="13.19921875" style="278" bestFit="1" customWidth="1"/>
    <col min="116" max="16384" width="8.69921875" style="278"/>
  </cols>
  <sheetData>
    <row r="1" spans="1:61" x14ac:dyDescent="0.35">
      <c r="A1" s="346" t="s">
        <v>2321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7" customFormat="1" x14ac:dyDescent="0.35">
      <c r="A2" s="348" t="s">
        <v>2322</v>
      </c>
      <c r="B2" s="349" t="s">
        <v>2323</v>
      </c>
      <c r="C2" s="350"/>
      <c r="D2" s="351"/>
      <c r="E2" s="351"/>
      <c r="F2" s="352">
        <v>44396</v>
      </c>
      <c r="G2" s="352"/>
      <c r="H2" s="352">
        <f t="shared" ref="H2:H12" si="0">D40</f>
        <v>44403</v>
      </c>
      <c r="I2" s="352"/>
      <c r="J2" s="352">
        <f t="shared" ref="J2:J12" si="1">F40</f>
        <v>44461</v>
      </c>
      <c r="K2" s="352"/>
      <c r="L2" s="352">
        <f t="shared" ref="L2:L12" si="2">H40</f>
        <v>44404</v>
      </c>
      <c r="M2" s="352"/>
      <c r="N2" s="352">
        <f t="shared" ref="N2:N12" si="3">J40</f>
        <v>44431</v>
      </c>
      <c r="O2" s="352"/>
      <c r="P2" s="352">
        <f t="shared" ref="P2:P12" si="4">L40</f>
        <v>44432</v>
      </c>
      <c r="Q2" s="352"/>
      <c r="R2" s="352">
        <f t="shared" ref="R2:R12" si="5">N40</f>
        <v>44433</v>
      </c>
      <c r="S2" s="352"/>
      <c r="T2" s="352">
        <f t="shared" ref="T2:T12" si="6">P40</f>
        <v>44434</v>
      </c>
      <c r="U2" s="352"/>
      <c r="V2" s="352">
        <f t="shared" ref="V2:V12" si="7">R40</f>
        <v>44435</v>
      </c>
      <c r="W2" s="352"/>
      <c r="X2" s="352">
        <f t="shared" ref="X2:X12" si="8">T40</f>
        <v>44438</v>
      </c>
      <c r="Y2" s="352"/>
      <c r="Z2" s="352">
        <f t="shared" ref="Z2:Z12" si="9">V40</f>
        <v>44439</v>
      </c>
      <c r="AA2" s="352"/>
      <c r="AB2" s="352">
        <f t="shared" ref="AB2:AB12" si="10">X40</f>
        <v>44440</v>
      </c>
      <c r="AC2" s="352"/>
      <c r="AD2" s="352">
        <f t="shared" ref="AD2:AD12" si="11">Z40</f>
        <v>44441</v>
      </c>
      <c r="AE2" s="352"/>
      <c r="AF2" s="352">
        <f t="shared" ref="AF2:AF12" si="12">AB40</f>
        <v>44442</v>
      </c>
      <c r="AG2" s="352"/>
      <c r="AH2" s="352">
        <f t="shared" ref="AH2:AH12" si="13">AD40</f>
        <v>44447</v>
      </c>
      <c r="AI2" s="352"/>
      <c r="AJ2" s="352">
        <f t="shared" ref="AJ2:AJ12" si="14">AF40</f>
        <v>44448</v>
      </c>
      <c r="AK2" s="352"/>
      <c r="AL2" s="352">
        <f t="shared" ref="AL2:AL12" si="15">AH40</f>
        <v>44452</v>
      </c>
      <c r="AM2" s="352"/>
      <c r="AN2" s="352">
        <f t="shared" ref="AN2:AN12" si="16">AJ40</f>
        <v>44481</v>
      </c>
      <c r="AO2" s="352"/>
      <c r="AP2" s="352">
        <f t="shared" ref="AP2:AP12" si="17">AL40</f>
        <v>44453</v>
      </c>
      <c r="AQ2" s="352"/>
      <c r="AR2" s="352">
        <f t="shared" ref="AR2:AR12" si="18">AN40</f>
        <v>44455</v>
      </c>
      <c r="AS2" s="352"/>
      <c r="AT2" s="352">
        <f t="shared" ref="AT2:AT12" si="19">AP40</f>
        <v>44456</v>
      </c>
      <c r="AU2" s="352"/>
      <c r="AV2" s="352">
        <f t="shared" ref="AV2:AV12" si="20">AR40</f>
        <v>44462</v>
      </c>
      <c r="AW2" s="352"/>
      <c r="AX2" s="352">
        <f t="shared" ref="AX2:AX12" si="21">AT40</f>
        <v>44467</v>
      </c>
      <c r="AY2" s="352"/>
      <c r="AZ2" s="352">
        <f t="shared" ref="AZ2:AZ12" si="22">AV40</f>
        <v>44463</v>
      </c>
      <c r="BA2" s="352"/>
      <c r="BB2" s="352">
        <f t="shared" ref="BB2:BB12" si="23">AX40</f>
        <v>44466</v>
      </c>
      <c r="BC2" s="352"/>
      <c r="BD2" s="352">
        <f t="shared" ref="BD2:BD12" si="24">AZ40</f>
        <v>44515</v>
      </c>
      <c r="BE2" s="352"/>
      <c r="BF2" s="352">
        <f t="shared" ref="BF2:BF12" si="25">BB40</f>
        <v>44516</v>
      </c>
      <c r="BG2" s="352"/>
      <c r="BH2" s="352">
        <f t="shared" ref="BH2:BH12" si="26">BD40</f>
        <v>44468</v>
      </c>
      <c r="BI2" s="352"/>
    </row>
    <row r="3" spans="1:61" x14ac:dyDescent="0.35">
      <c r="A3" s="50" t="str">
        <f t="shared" ref="A3:A12" si="27">A41</f>
        <v>業務大類</v>
      </c>
      <c r="B3" s="50" t="s">
        <v>2187</v>
      </c>
      <c r="C3" s="50" t="s">
        <v>64</v>
      </c>
      <c r="D3" s="50" t="s">
        <v>2188</v>
      </c>
      <c r="E3" s="50" t="s">
        <v>2324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8">
        <f t="shared" si="28"/>
        <v>8</v>
      </c>
      <c r="G4" s="278">
        <f t="shared" si="29"/>
        <v>8</v>
      </c>
      <c r="H4" s="278">
        <f t="shared" si="0"/>
        <v>4</v>
      </c>
      <c r="I4" s="278">
        <f t="shared" si="30"/>
        <v>4</v>
      </c>
      <c r="J4" s="278">
        <f t="shared" si="1"/>
        <v>3</v>
      </c>
      <c r="K4" s="278">
        <f t="shared" si="31"/>
        <v>3</v>
      </c>
      <c r="L4" s="278">
        <f t="shared" si="2"/>
        <v>0</v>
      </c>
      <c r="M4" s="278">
        <f t="shared" si="32"/>
        <v>0</v>
      </c>
      <c r="N4" s="278">
        <f t="shared" si="3"/>
        <v>0</v>
      </c>
      <c r="O4" s="278">
        <f t="shared" si="33"/>
        <v>0</v>
      </c>
      <c r="P4" s="278">
        <f t="shared" si="4"/>
        <v>0</v>
      </c>
      <c r="Q4" s="278">
        <f t="shared" si="34"/>
        <v>0</v>
      </c>
      <c r="R4" s="278">
        <f t="shared" si="5"/>
        <v>0</v>
      </c>
      <c r="S4" s="278">
        <f t="shared" si="35"/>
        <v>0</v>
      </c>
      <c r="T4" s="278">
        <f t="shared" si="6"/>
        <v>0</v>
      </c>
      <c r="U4" s="278">
        <f t="shared" si="36"/>
        <v>0</v>
      </c>
      <c r="V4" s="278">
        <f t="shared" si="7"/>
        <v>0</v>
      </c>
      <c r="W4" s="278">
        <f t="shared" si="37"/>
        <v>0</v>
      </c>
      <c r="X4" s="278">
        <f t="shared" si="8"/>
        <v>0</v>
      </c>
      <c r="Y4" s="278">
        <f t="shared" si="38"/>
        <v>0</v>
      </c>
      <c r="Z4" s="278">
        <f t="shared" si="9"/>
        <v>0</v>
      </c>
      <c r="AA4" s="278">
        <f t="shared" si="39"/>
        <v>0</v>
      </c>
      <c r="AB4" s="278">
        <f t="shared" si="10"/>
        <v>0</v>
      </c>
      <c r="AC4" s="278">
        <f t="shared" si="40"/>
        <v>0</v>
      </c>
      <c r="AD4" s="278">
        <f t="shared" si="11"/>
        <v>0</v>
      </c>
      <c r="AE4" s="278">
        <f t="shared" si="41"/>
        <v>0</v>
      </c>
      <c r="AF4" s="278">
        <f t="shared" si="12"/>
        <v>0</v>
      </c>
      <c r="AG4" s="278">
        <f t="shared" si="42"/>
        <v>0</v>
      </c>
      <c r="AH4" s="278">
        <f t="shared" si="13"/>
        <v>0</v>
      </c>
      <c r="AI4" s="278">
        <f t="shared" si="43"/>
        <v>0</v>
      </c>
      <c r="AJ4" s="278">
        <f t="shared" si="14"/>
        <v>0</v>
      </c>
      <c r="AK4" s="278">
        <f t="shared" si="44"/>
        <v>0</v>
      </c>
      <c r="AL4" s="278">
        <f t="shared" si="15"/>
        <v>0</v>
      </c>
      <c r="AM4" s="278">
        <f t="shared" si="45"/>
        <v>0</v>
      </c>
      <c r="AN4" s="278">
        <f t="shared" si="16"/>
        <v>0</v>
      </c>
      <c r="AO4" s="278">
        <f t="shared" si="46"/>
        <v>0</v>
      </c>
      <c r="AP4" s="278">
        <f t="shared" si="17"/>
        <v>0</v>
      </c>
      <c r="AQ4" s="278">
        <f t="shared" si="47"/>
        <v>0</v>
      </c>
      <c r="AR4" s="278">
        <f t="shared" si="18"/>
        <v>0</v>
      </c>
      <c r="AS4" s="278">
        <f t="shared" si="48"/>
        <v>0</v>
      </c>
      <c r="AT4" s="278">
        <f t="shared" si="19"/>
        <v>0</v>
      </c>
      <c r="AU4" s="278">
        <f t="shared" si="49"/>
        <v>0</v>
      </c>
      <c r="AV4" s="278">
        <f t="shared" si="20"/>
        <v>0</v>
      </c>
      <c r="AW4" s="278">
        <f t="shared" si="50"/>
        <v>0</v>
      </c>
      <c r="AX4" s="278">
        <f t="shared" si="21"/>
        <v>0</v>
      </c>
      <c r="AY4" s="278">
        <f t="shared" si="51"/>
        <v>0</v>
      </c>
      <c r="AZ4" s="278">
        <f t="shared" si="22"/>
        <v>0</v>
      </c>
      <c r="BA4" s="278">
        <f t="shared" si="52"/>
        <v>0</v>
      </c>
      <c r="BB4" s="278">
        <f t="shared" si="23"/>
        <v>0</v>
      </c>
      <c r="BC4" s="278">
        <f t="shared" si="53"/>
        <v>0</v>
      </c>
      <c r="BD4" s="278">
        <f t="shared" si="24"/>
        <v>0</v>
      </c>
      <c r="BE4" s="278">
        <f t="shared" si="54"/>
        <v>0</v>
      </c>
      <c r="BF4" s="278">
        <f t="shared" si="25"/>
        <v>0</v>
      </c>
      <c r="BG4" s="278">
        <f t="shared" si="55"/>
        <v>0</v>
      </c>
      <c r="BH4" s="278">
        <f t="shared" si="26"/>
        <v>0</v>
      </c>
      <c r="BI4" s="27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8">
        <f t="shared" si="28"/>
        <v>0</v>
      </c>
      <c r="G5" s="278">
        <f t="shared" si="29"/>
        <v>0</v>
      </c>
      <c r="H5" s="278">
        <f t="shared" si="0"/>
        <v>5</v>
      </c>
      <c r="I5" s="278">
        <f t="shared" si="30"/>
        <v>5</v>
      </c>
      <c r="J5" s="278">
        <f t="shared" si="1"/>
        <v>0</v>
      </c>
      <c r="K5" s="278">
        <f t="shared" si="31"/>
        <v>0</v>
      </c>
      <c r="L5" s="278">
        <f t="shared" si="2"/>
        <v>10</v>
      </c>
      <c r="M5" s="278">
        <f t="shared" si="32"/>
        <v>10</v>
      </c>
      <c r="N5" s="278">
        <f t="shared" si="3"/>
        <v>9</v>
      </c>
      <c r="O5" s="278">
        <f t="shared" si="33"/>
        <v>9</v>
      </c>
      <c r="P5" s="278">
        <f t="shared" si="4"/>
        <v>6</v>
      </c>
      <c r="Q5" s="278">
        <f t="shared" si="34"/>
        <v>6</v>
      </c>
      <c r="R5" s="278">
        <f t="shared" si="5"/>
        <v>4</v>
      </c>
      <c r="S5" s="278">
        <f t="shared" si="35"/>
        <v>4</v>
      </c>
      <c r="T5" s="278">
        <f t="shared" si="6"/>
        <v>4</v>
      </c>
      <c r="U5" s="278">
        <f t="shared" si="36"/>
        <v>4</v>
      </c>
      <c r="V5" s="278">
        <f t="shared" si="7"/>
        <v>4</v>
      </c>
      <c r="W5" s="278">
        <f t="shared" si="37"/>
        <v>4</v>
      </c>
      <c r="X5" s="278">
        <f t="shared" si="8"/>
        <v>0</v>
      </c>
      <c r="Y5" s="278">
        <f t="shared" si="38"/>
        <v>0</v>
      </c>
      <c r="Z5" s="278">
        <f t="shared" si="9"/>
        <v>0</v>
      </c>
      <c r="AA5" s="278">
        <f t="shared" si="39"/>
        <v>0</v>
      </c>
      <c r="AB5" s="278">
        <f t="shared" si="10"/>
        <v>0</v>
      </c>
      <c r="AC5" s="278">
        <f t="shared" si="40"/>
        <v>0</v>
      </c>
      <c r="AD5" s="278">
        <f t="shared" si="11"/>
        <v>4</v>
      </c>
      <c r="AE5" s="278">
        <f t="shared" si="41"/>
        <v>4</v>
      </c>
      <c r="AF5" s="278">
        <f t="shared" si="12"/>
        <v>0</v>
      </c>
      <c r="AG5" s="278">
        <f t="shared" si="42"/>
        <v>0</v>
      </c>
      <c r="AH5" s="278">
        <f t="shared" si="13"/>
        <v>0</v>
      </c>
      <c r="AI5" s="278">
        <f t="shared" si="43"/>
        <v>0</v>
      </c>
      <c r="AJ5" s="278">
        <f t="shared" si="14"/>
        <v>0</v>
      </c>
      <c r="AK5" s="278">
        <f t="shared" si="44"/>
        <v>0</v>
      </c>
      <c r="AL5" s="278">
        <f t="shared" si="15"/>
        <v>0</v>
      </c>
      <c r="AM5" s="278">
        <f t="shared" si="45"/>
        <v>0</v>
      </c>
      <c r="AN5" s="278">
        <f t="shared" si="16"/>
        <v>0</v>
      </c>
      <c r="AO5" s="278">
        <f t="shared" si="46"/>
        <v>0</v>
      </c>
      <c r="AP5" s="278">
        <f t="shared" si="17"/>
        <v>3</v>
      </c>
      <c r="AQ5" s="278">
        <f t="shared" si="47"/>
        <v>3</v>
      </c>
      <c r="AR5" s="278">
        <f t="shared" si="18"/>
        <v>0</v>
      </c>
      <c r="AS5" s="278">
        <f t="shared" si="48"/>
        <v>0</v>
      </c>
      <c r="AT5" s="278">
        <f t="shared" si="19"/>
        <v>0</v>
      </c>
      <c r="AU5" s="278">
        <f t="shared" si="49"/>
        <v>0</v>
      </c>
      <c r="AV5" s="278">
        <f t="shared" si="20"/>
        <v>0</v>
      </c>
      <c r="AW5" s="278">
        <f t="shared" si="50"/>
        <v>0</v>
      </c>
      <c r="AX5" s="278">
        <f t="shared" si="21"/>
        <v>0</v>
      </c>
      <c r="AY5" s="278">
        <f t="shared" si="51"/>
        <v>0</v>
      </c>
      <c r="AZ5" s="278">
        <f t="shared" si="22"/>
        <v>0</v>
      </c>
      <c r="BA5" s="278">
        <f t="shared" si="52"/>
        <v>0</v>
      </c>
      <c r="BB5" s="278">
        <f t="shared" si="23"/>
        <v>0</v>
      </c>
      <c r="BC5" s="278">
        <f t="shared" si="53"/>
        <v>0</v>
      </c>
      <c r="BD5" s="278">
        <f t="shared" si="24"/>
        <v>0</v>
      </c>
      <c r="BE5" s="278">
        <f t="shared" si="54"/>
        <v>0</v>
      </c>
      <c r="BF5" s="278">
        <f t="shared" si="25"/>
        <v>0</v>
      </c>
      <c r="BG5" s="278">
        <f t="shared" si="55"/>
        <v>0</v>
      </c>
      <c r="BH5" s="278">
        <f t="shared" si="26"/>
        <v>0</v>
      </c>
      <c r="BI5" s="27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8">
        <f t="shared" si="28"/>
        <v>0</v>
      </c>
      <c r="G6" s="278">
        <f t="shared" si="29"/>
        <v>0</v>
      </c>
      <c r="H6" s="278">
        <f t="shared" si="0"/>
        <v>0</v>
      </c>
      <c r="I6" s="278">
        <f t="shared" si="30"/>
        <v>0</v>
      </c>
      <c r="J6" s="278">
        <f t="shared" si="1"/>
        <v>0</v>
      </c>
      <c r="K6" s="278">
        <f t="shared" si="31"/>
        <v>0</v>
      </c>
      <c r="L6" s="278">
        <f t="shared" si="2"/>
        <v>0</v>
      </c>
      <c r="M6" s="278">
        <f t="shared" si="32"/>
        <v>0</v>
      </c>
      <c r="N6" s="278">
        <f t="shared" si="3"/>
        <v>0</v>
      </c>
      <c r="O6" s="278">
        <f t="shared" si="33"/>
        <v>0</v>
      </c>
      <c r="P6" s="278">
        <f t="shared" si="4"/>
        <v>0</v>
      </c>
      <c r="Q6" s="278">
        <f t="shared" si="34"/>
        <v>0</v>
      </c>
      <c r="R6" s="278">
        <f t="shared" si="5"/>
        <v>0</v>
      </c>
      <c r="S6" s="278">
        <f t="shared" si="35"/>
        <v>0</v>
      </c>
      <c r="T6" s="278">
        <f t="shared" si="6"/>
        <v>0</v>
      </c>
      <c r="U6" s="278">
        <f t="shared" si="36"/>
        <v>0</v>
      </c>
      <c r="V6" s="278">
        <f t="shared" si="7"/>
        <v>0</v>
      </c>
      <c r="W6" s="278">
        <f t="shared" si="37"/>
        <v>0</v>
      </c>
      <c r="X6" s="278">
        <f t="shared" si="8"/>
        <v>1</v>
      </c>
      <c r="Y6" s="278">
        <f t="shared" si="38"/>
        <v>1</v>
      </c>
      <c r="Z6" s="278">
        <f t="shared" si="9"/>
        <v>3</v>
      </c>
      <c r="AA6" s="278">
        <f t="shared" si="39"/>
        <v>3</v>
      </c>
      <c r="AB6" s="278">
        <f t="shared" si="10"/>
        <v>3</v>
      </c>
      <c r="AC6" s="278">
        <f t="shared" si="40"/>
        <v>3</v>
      </c>
      <c r="AD6" s="278">
        <f t="shared" si="11"/>
        <v>1</v>
      </c>
      <c r="AE6" s="278">
        <f t="shared" si="41"/>
        <v>1</v>
      </c>
      <c r="AF6" s="278">
        <f t="shared" si="12"/>
        <v>5</v>
      </c>
      <c r="AG6" s="278">
        <f t="shared" si="42"/>
        <v>5</v>
      </c>
      <c r="AH6" s="278">
        <f t="shared" si="13"/>
        <v>0</v>
      </c>
      <c r="AI6" s="278">
        <f t="shared" si="43"/>
        <v>0</v>
      </c>
      <c r="AJ6" s="278">
        <f t="shared" si="14"/>
        <v>0</v>
      </c>
      <c r="AK6" s="278">
        <f t="shared" si="44"/>
        <v>0</v>
      </c>
      <c r="AL6" s="278">
        <f t="shared" si="15"/>
        <v>5</v>
      </c>
      <c r="AM6" s="278">
        <f t="shared" si="45"/>
        <v>5</v>
      </c>
      <c r="AN6" s="278">
        <f t="shared" si="16"/>
        <v>0</v>
      </c>
      <c r="AO6" s="278">
        <f t="shared" si="46"/>
        <v>0</v>
      </c>
      <c r="AP6" s="278">
        <f t="shared" si="17"/>
        <v>0</v>
      </c>
      <c r="AQ6" s="278">
        <f t="shared" si="47"/>
        <v>0</v>
      </c>
      <c r="AR6" s="278">
        <f t="shared" si="18"/>
        <v>0</v>
      </c>
      <c r="AS6" s="278">
        <f t="shared" si="48"/>
        <v>0</v>
      </c>
      <c r="AT6" s="278">
        <f t="shared" si="19"/>
        <v>0</v>
      </c>
      <c r="AU6" s="278">
        <f t="shared" si="49"/>
        <v>0</v>
      </c>
      <c r="AV6" s="278">
        <f t="shared" si="20"/>
        <v>0</v>
      </c>
      <c r="AW6" s="278">
        <f t="shared" si="50"/>
        <v>0</v>
      </c>
      <c r="AX6" s="278">
        <f t="shared" si="21"/>
        <v>0</v>
      </c>
      <c r="AY6" s="278">
        <f t="shared" si="51"/>
        <v>0</v>
      </c>
      <c r="AZ6" s="278">
        <f t="shared" si="22"/>
        <v>0</v>
      </c>
      <c r="BA6" s="278">
        <f t="shared" si="52"/>
        <v>0</v>
      </c>
      <c r="BB6" s="278">
        <f t="shared" si="23"/>
        <v>0</v>
      </c>
      <c r="BC6" s="278">
        <f t="shared" si="53"/>
        <v>0</v>
      </c>
      <c r="BD6" s="278">
        <f t="shared" si="24"/>
        <v>0</v>
      </c>
      <c r="BE6" s="278">
        <f t="shared" si="54"/>
        <v>0</v>
      </c>
      <c r="BF6" s="278">
        <f t="shared" si="25"/>
        <v>0</v>
      </c>
      <c r="BG6" s="278">
        <f t="shared" si="55"/>
        <v>0</v>
      </c>
      <c r="BH6" s="278">
        <f t="shared" si="26"/>
        <v>0</v>
      </c>
      <c r="BI6" s="27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78">
        <f t="shared" si="28"/>
        <v>0</v>
      </c>
      <c r="G7" s="278">
        <f t="shared" si="29"/>
        <v>0</v>
      </c>
      <c r="H7" s="278">
        <f t="shared" si="0"/>
        <v>0</v>
      </c>
      <c r="I7" s="278">
        <f t="shared" si="30"/>
        <v>0</v>
      </c>
      <c r="J7" s="278">
        <f t="shared" si="1"/>
        <v>0</v>
      </c>
      <c r="K7" s="278">
        <f t="shared" si="31"/>
        <v>0</v>
      </c>
      <c r="L7" s="278">
        <f t="shared" si="2"/>
        <v>0</v>
      </c>
      <c r="M7" s="278">
        <f t="shared" si="32"/>
        <v>0</v>
      </c>
      <c r="N7" s="278">
        <f t="shared" si="3"/>
        <v>0</v>
      </c>
      <c r="O7" s="278">
        <f t="shared" si="33"/>
        <v>0</v>
      </c>
      <c r="P7" s="278">
        <f t="shared" si="4"/>
        <v>0</v>
      </c>
      <c r="Q7" s="278">
        <f t="shared" si="34"/>
        <v>0</v>
      </c>
      <c r="R7" s="278">
        <f t="shared" si="5"/>
        <v>0</v>
      </c>
      <c r="S7" s="278">
        <f t="shared" si="35"/>
        <v>0</v>
      </c>
      <c r="T7" s="278">
        <f t="shared" si="6"/>
        <v>0</v>
      </c>
      <c r="U7" s="278">
        <f t="shared" si="36"/>
        <v>0</v>
      </c>
      <c r="V7" s="278">
        <f t="shared" si="7"/>
        <v>0</v>
      </c>
      <c r="W7" s="278">
        <f t="shared" si="37"/>
        <v>0</v>
      </c>
      <c r="X7" s="278">
        <f t="shared" si="8"/>
        <v>3</v>
      </c>
      <c r="Y7" s="278">
        <f t="shared" si="38"/>
        <v>3</v>
      </c>
      <c r="Z7" s="278">
        <f t="shared" si="9"/>
        <v>0</v>
      </c>
      <c r="AA7" s="278">
        <f t="shared" si="39"/>
        <v>0</v>
      </c>
      <c r="AB7" s="278">
        <f t="shared" si="10"/>
        <v>0</v>
      </c>
      <c r="AC7" s="278">
        <f t="shared" si="40"/>
        <v>0</v>
      </c>
      <c r="AD7" s="278">
        <f t="shared" si="11"/>
        <v>0</v>
      </c>
      <c r="AE7" s="278">
        <f t="shared" si="41"/>
        <v>0</v>
      </c>
      <c r="AF7" s="278">
        <f t="shared" si="12"/>
        <v>0</v>
      </c>
      <c r="AG7" s="278">
        <f t="shared" si="42"/>
        <v>0</v>
      </c>
      <c r="AH7" s="278">
        <f t="shared" si="13"/>
        <v>6</v>
      </c>
      <c r="AI7" s="278">
        <f t="shared" si="43"/>
        <v>6</v>
      </c>
      <c r="AJ7" s="278">
        <f t="shared" si="14"/>
        <v>4</v>
      </c>
      <c r="AK7" s="278">
        <f t="shared" si="44"/>
        <v>4</v>
      </c>
      <c r="AL7" s="278">
        <f t="shared" si="15"/>
        <v>1</v>
      </c>
      <c r="AM7" s="278">
        <f t="shared" si="45"/>
        <v>1</v>
      </c>
      <c r="AN7" s="278">
        <f t="shared" si="16"/>
        <v>4</v>
      </c>
      <c r="AO7" s="278">
        <f t="shared" si="46"/>
        <v>4</v>
      </c>
      <c r="AP7" s="278">
        <f t="shared" si="17"/>
        <v>0</v>
      </c>
      <c r="AQ7" s="278">
        <f t="shared" si="47"/>
        <v>0</v>
      </c>
      <c r="AR7" s="278">
        <f t="shared" si="18"/>
        <v>12</v>
      </c>
      <c r="AS7" s="278">
        <f t="shared" si="48"/>
        <v>12</v>
      </c>
      <c r="AT7" s="278">
        <f t="shared" si="19"/>
        <v>5</v>
      </c>
      <c r="AU7" s="278">
        <f t="shared" si="49"/>
        <v>5</v>
      </c>
      <c r="AV7" s="278">
        <f t="shared" si="20"/>
        <v>0</v>
      </c>
      <c r="AW7" s="278">
        <f t="shared" si="50"/>
        <v>0</v>
      </c>
      <c r="AX7" s="278">
        <f t="shared" si="21"/>
        <v>0</v>
      </c>
      <c r="AY7" s="278">
        <f t="shared" si="51"/>
        <v>0</v>
      </c>
      <c r="AZ7" s="278">
        <f t="shared" si="22"/>
        <v>0</v>
      </c>
      <c r="BA7" s="278">
        <f t="shared" si="52"/>
        <v>0</v>
      </c>
      <c r="BB7" s="278">
        <f t="shared" si="23"/>
        <v>0</v>
      </c>
      <c r="BC7" s="278">
        <f t="shared" si="53"/>
        <v>0</v>
      </c>
      <c r="BD7" s="278">
        <f t="shared" si="24"/>
        <v>0</v>
      </c>
      <c r="BE7" s="278">
        <f t="shared" si="54"/>
        <v>0</v>
      </c>
      <c r="BF7" s="278">
        <f t="shared" si="25"/>
        <v>0</v>
      </c>
      <c r="BG7" s="278">
        <f t="shared" si="55"/>
        <v>0</v>
      </c>
      <c r="BH7" s="278">
        <f t="shared" si="26"/>
        <v>6</v>
      </c>
      <c r="BI7" s="27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8">
        <f t="shared" si="28"/>
        <v>0</v>
      </c>
      <c r="G8" s="278">
        <f t="shared" si="29"/>
        <v>0</v>
      </c>
      <c r="H8" s="278">
        <f t="shared" si="0"/>
        <v>0</v>
      </c>
      <c r="I8" s="278">
        <f t="shared" si="30"/>
        <v>0</v>
      </c>
      <c r="J8" s="278">
        <f t="shared" si="1"/>
        <v>0</v>
      </c>
      <c r="K8" s="278">
        <f t="shared" si="31"/>
        <v>0</v>
      </c>
      <c r="L8" s="278">
        <f t="shared" si="2"/>
        <v>0</v>
      </c>
      <c r="M8" s="278">
        <f t="shared" si="32"/>
        <v>0</v>
      </c>
      <c r="N8" s="278">
        <f t="shared" si="3"/>
        <v>0</v>
      </c>
      <c r="O8" s="278">
        <f t="shared" si="33"/>
        <v>0</v>
      </c>
      <c r="P8" s="278">
        <f t="shared" si="4"/>
        <v>0</v>
      </c>
      <c r="Q8" s="278">
        <f t="shared" si="34"/>
        <v>0</v>
      </c>
      <c r="R8" s="278">
        <f t="shared" si="5"/>
        <v>0</v>
      </c>
      <c r="S8" s="278">
        <f t="shared" si="35"/>
        <v>0</v>
      </c>
      <c r="T8" s="278">
        <f t="shared" si="6"/>
        <v>0</v>
      </c>
      <c r="U8" s="278">
        <f t="shared" si="36"/>
        <v>0</v>
      </c>
      <c r="V8" s="278">
        <f t="shared" si="7"/>
        <v>0</v>
      </c>
      <c r="W8" s="278">
        <f t="shared" si="37"/>
        <v>0</v>
      </c>
      <c r="X8" s="278">
        <f t="shared" si="8"/>
        <v>0</v>
      </c>
      <c r="Y8" s="278">
        <f t="shared" si="38"/>
        <v>0</v>
      </c>
      <c r="Z8" s="278">
        <f t="shared" si="9"/>
        <v>0</v>
      </c>
      <c r="AA8" s="278">
        <f t="shared" si="39"/>
        <v>0</v>
      </c>
      <c r="AB8" s="278">
        <f t="shared" si="10"/>
        <v>0</v>
      </c>
      <c r="AC8" s="278">
        <f t="shared" si="40"/>
        <v>0</v>
      </c>
      <c r="AD8" s="278">
        <f t="shared" si="11"/>
        <v>0</v>
      </c>
      <c r="AE8" s="278">
        <f t="shared" si="41"/>
        <v>0</v>
      </c>
      <c r="AF8" s="278">
        <f t="shared" si="12"/>
        <v>0</v>
      </c>
      <c r="AG8" s="278">
        <f t="shared" si="42"/>
        <v>0</v>
      </c>
      <c r="AH8" s="278">
        <f t="shared" si="13"/>
        <v>0</v>
      </c>
      <c r="AI8" s="278">
        <f t="shared" si="43"/>
        <v>0</v>
      </c>
      <c r="AJ8" s="278">
        <f t="shared" si="14"/>
        <v>0</v>
      </c>
      <c r="AK8" s="278">
        <f t="shared" si="44"/>
        <v>0</v>
      </c>
      <c r="AL8" s="278">
        <f t="shared" si="15"/>
        <v>0</v>
      </c>
      <c r="AM8" s="278">
        <f t="shared" si="45"/>
        <v>0</v>
      </c>
      <c r="AN8" s="278">
        <f t="shared" si="16"/>
        <v>0</v>
      </c>
      <c r="AO8" s="278">
        <f t="shared" si="46"/>
        <v>0</v>
      </c>
      <c r="AP8" s="278">
        <f t="shared" si="17"/>
        <v>0</v>
      </c>
      <c r="AQ8" s="278">
        <f t="shared" si="47"/>
        <v>0</v>
      </c>
      <c r="AR8" s="278">
        <f t="shared" si="18"/>
        <v>0</v>
      </c>
      <c r="AS8" s="278">
        <f t="shared" si="48"/>
        <v>0</v>
      </c>
      <c r="AT8" s="278">
        <f t="shared" si="19"/>
        <v>0</v>
      </c>
      <c r="AU8" s="278">
        <f t="shared" si="49"/>
        <v>0</v>
      </c>
      <c r="AV8" s="278">
        <f t="shared" si="20"/>
        <v>6</v>
      </c>
      <c r="AW8" s="278">
        <f t="shared" si="50"/>
        <v>6</v>
      </c>
      <c r="AX8" s="278">
        <f t="shared" si="21"/>
        <v>4</v>
      </c>
      <c r="AY8" s="278">
        <f t="shared" si="51"/>
        <v>4</v>
      </c>
      <c r="AZ8" s="278">
        <f t="shared" si="22"/>
        <v>8</v>
      </c>
      <c r="BA8" s="278">
        <f t="shared" si="52"/>
        <v>8</v>
      </c>
      <c r="BB8" s="278">
        <f t="shared" si="23"/>
        <v>8</v>
      </c>
      <c r="BC8" s="278">
        <f t="shared" si="53"/>
        <v>8</v>
      </c>
      <c r="BD8" s="278">
        <f t="shared" si="24"/>
        <v>0</v>
      </c>
      <c r="BE8" s="278">
        <f t="shared" si="54"/>
        <v>0</v>
      </c>
      <c r="BF8" s="278">
        <f t="shared" si="25"/>
        <v>0</v>
      </c>
      <c r="BG8" s="278">
        <f t="shared" si="55"/>
        <v>0</v>
      </c>
      <c r="BH8" s="278">
        <f t="shared" si="26"/>
        <v>0</v>
      </c>
      <c r="BI8" s="27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78">
        <f t="shared" si="28"/>
        <v>1</v>
      </c>
      <c r="G9" s="278">
        <f t="shared" si="29"/>
        <v>1</v>
      </c>
      <c r="H9" s="278">
        <f t="shared" si="0"/>
        <v>0</v>
      </c>
      <c r="I9" s="278">
        <f t="shared" si="30"/>
        <v>0</v>
      </c>
      <c r="J9" s="278">
        <f t="shared" si="1"/>
        <v>0</v>
      </c>
      <c r="K9" s="278">
        <f t="shared" si="31"/>
        <v>0</v>
      </c>
      <c r="L9" s="278">
        <f t="shared" si="2"/>
        <v>2</v>
      </c>
      <c r="M9" s="278">
        <f t="shared" si="32"/>
        <v>2</v>
      </c>
      <c r="N9" s="278">
        <f t="shared" si="3"/>
        <v>0</v>
      </c>
      <c r="O9" s="278">
        <f t="shared" si="33"/>
        <v>0</v>
      </c>
      <c r="P9" s="278">
        <f t="shared" si="4"/>
        <v>0</v>
      </c>
      <c r="Q9" s="278">
        <f t="shared" si="34"/>
        <v>0</v>
      </c>
      <c r="R9" s="278">
        <f t="shared" si="5"/>
        <v>2</v>
      </c>
      <c r="S9" s="278">
        <f t="shared" si="35"/>
        <v>2</v>
      </c>
      <c r="T9" s="278">
        <f t="shared" si="6"/>
        <v>0</v>
      </c>
      <c r="U9" s="278">
        <f t="shared" si="36"/>
        <v>0</v>
      </c>
      <c r="V9" s="278">
        <f t="shared" si="7"/>
        <v>0</v>
      </c>
      <c r="W9" s="278">
        <f t="shared" si="37"/>
        <v>0</v>
      </c>
      <c r="X9" s="278">
        <f t="shared" si="8"/>
        <v>0</v>
      </c>
      <c r="Y9" s="278">
        <f t="shared" si="38"/>
        <v>0</v>
      </c>
      <c r="Z9" s="278">
        <f t="shared" si="9"/>
        <v>1</v>
      </c>
      <c r="AA9" s="278">
        <f t="shared" si="39"/>
        <v>1</v>
      </c>
      <c r="AB9" s="278">
        <f t="shared" si="10"/>
        <v>0</v>
      </c>
      <c r="AC9" s="278">
        <f t="shared" si="40"/>
        <v>0</v>
      </c>
      <c r="AD9" s="278">
        <f t="shared" si="11"/>
        <v>2</v>
      </c>
      <c r="AE9" s="278">
        <f t="shared" si="41"/>
        <v>2</v>
      </c>
      <c r="AF9" s="278">
        <f t="shared" si="12"/>
        <v>0</v>
      </c>
      <c r="AG9" s="278">
        <f t="shared" si="42"/>
        <v>0</v>
      </c>
      <c r="AH9" s="278">
        <f t="shared" si="13"/>
        <v>1</v>
      </c>
      <c r="AI9" s="278">
        <f t="shared" si="43"/>
        <v>1</v>
      </c>
      <c r="AJ9" s="278">
        <f t="shared" si="14"/>
        <v>0</v>
      </c>
      <c r="AK9" s="278">
        <f t="shared" si="44"/>
        <v>0</v>
      </c>
      <c r="AL9" s="278">
        <f t="shared" si="15"/>
        <v>1</v>
      </c>
      <c r="AM9" s="278">
        <f t="shared" si="45"/>
        <v>1</v>
      </c>
      <c r="AN9" s="278">
        <f t="shared" si="16"/>
        <v>0</v>
      </c>
      <c r="AO9" s="278">
        <f t="shared" si="46"/>
        <v>0</v>
      </c>
      <c r="AP9" s="278">
        <f t="shared" si="17"/>
        <v>0</v>
      </c>
      <c r="AQ9" s="278">
        <f t="shared" si="47"/>
        <v>0</v>
      </c>
      <c r="AR9" s="278">
        <f t="shared" si="18"/>
        <v>0</v>
      </c>
      <c r="AS9" s="278">
        <f t="shared" si="48"/>
        <v>0</v>
      </c>
      <c r="AT9" s="278">
        <f t="shared" si="19"/>
        <v>0</v>
      </c>
      <c r="AU9" s="278">
        <f t="shared" si="49"/>
        <v>0</v>
      </c>
      <c r="AV9" s="278">
        <f t="shared" si="20"/>
        <v>0</v>
      </c>
      <c r="AW9" s="278">
        <f t="shared" si="50"/>
        <v>0</v>
      </c>
      <c r="AX9" s="278">
        <f t="shared" si="21"/>
        <v>0</v>
      </c>
      <c r="AY9" s="278">
        <f t="shared" si="51"/>
        <v>0</v>
      </c>
      <c r="AZ9" s="278">
        <f t="shared" si="22"/>
        <v>0</v>
      </c>
      <c r="BA9" s="278">
        <f t="shared" si="52"/>
        <v>0</v>
      </c>
      <c r="BB9" s="278">
        <f t="shared" si="23"/>
        <v>0</v>
      </c>
      <c r="BC9" s="278">
        <f t="shared" si="53"/>
        <v>0</v>
      </c>
      <c r="BD9" s="278">
        <f t="shared" si="24"/>
        <v>13</v>
      </c>
      <c r="BE9" s="278">
        <f t="shared" si="54"/>
        <v>13</v>
      </c>
      <c r="BF9" s="278">
        <f t="shared" si="25"/>
        <v>22</v>
      </c>
      <c r="BG9" s="278">
        <f t="shared" si="55"/>
        <v>22</v>
      </c>
      <c r="BH9" s="278">
        <f t="shared" si="26"/>
        <v>0</v>
      </c>
      <c r="BI9" s="27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8">
        <f t="shared" si="28"/>
        <v>0</v>
      </c>
      <c r="G10" s="278">
        <f t="shared" si="29"/>
        <v>0</v>
      </c>
      <c r="H10" s="278">
        <f t="shared" si="0"/>
        <v>0</v>
      </c>
      <c r="I10" s="278">
        <f t="shared" si="30"/>
        <v>0</v>
      </c>
      <c r="J10" s="278">
        <f t="shared" si="1"/>
        <v>0</v>
      </c>
      <c r="K10" s="278">
        <f t="shared" si="31"/>
        <v>0</v>
      </c>
      <c r="L10" s="278">
        <f t="shared" si="2"/>
        <v>0</v>
      </c>
      <c r="M10" s="278">
        <f t="shared" si="32"/>
        <v>0</v>
      </c>
      <c r="N10" s="278">
        <f t="shared" si="3"/>
        <v>0</v>
      </c>
      <c r="O10" s="278">
        <f t="shared" si="33"/>
        <v>0</v>
      </c>
      <c r="P10" s="278">
        <f t="shared" si="4"/>
        <v>0</v>
      </c>
      <c r="Q10" s="278">
        <f t="shared" si="34"/>
        <v>0</v>
      </c>
      <c r="R10" s="278">
        <f t="shared" si="5"/>
        <v>0</v>
      </c>
      <c r="S10" s="278">
        <f t="shared" si="35"/>
        <v>0</v>
      </c>
      <c r="T10" s="278">
        <f t="shared" si="6"/>
        <v>0</v>
      </c>
      <c r="U10" s="278">
        <f t="shared" si="36"/>
        <v>0</v>
      </c>
      <c r="V10" s="278">
        <f t="shared" si="7"/>
        <v>0</v>
      </c>
      <c r="W10" s="278">
        <f t="shared" si="37"/>
        <v>0</v>
      </c>
      <c r="X10" s="278">
        <f t="shared" si="8"/>
        <v>0</v>
      </c>
      <c r="Y10" s="278">
        <f t="shared" si="38"/>
        <v>0</v>
      </c>
      <c r="Z10" s="278">
        <f t="shared" si="9"/>
        <v>0</v>
      </c>
      <c r="AA10" s="278">
        <f t="shared" si="39"/>
        <v>0</v>
      </c>
      <c r="AB10" s="278">
        <f t="shared" si="10"/>
        <v>0</v>
      </c>
      <c r="AC10" s="278">
        <f t="shared" si="40"/>
        <v>0</v>
      </c>
      <c r="AD10" s="278">
        <f t="shared" si="11"/>
        <v>0</v>
      </c>
      <c r="AE10" s="278">
        <f t="shared" si="41"/>
        <v>0</v>
      </c>
      <c r="AF10" s="278">
        <f t="shared" si="12"/>
        <v>0</v>
      </c>
      <c r="AG10" s="278">
        <f t="shared" si="42"/>
        <v>0</v>
      </c>
      <c r="AH10" s="278">
        <f t="shared" si="13"/>
        <v>0</v>
      </c>
      <c r="AI10" s="278">
        <f t="shared" si="43"/>
        <v>0</v>
      </c>
      <c r="AJ10" s="278">
        <f t="shared" si="14"/>
        <v>0</v>
      </c>
      <c r="AK10" s="278">
        <f t="shared" si="44"/>
        <v>0</v>
      </c>
      <c r="AL10" s="278">
        <f t="shared" si="15"/>
        <v>0</v>
      </c>
      <c r="AM10" s="278">
        <f t="shared" si="45"/>
        <v>0</v>
      </c>
      <c r="AN10" s="278">
        <f t="shared" si="16"/>
        <v>0</v>
      </c>
      <c r="AO10" s="278">
        <f t="shared" si="46"/>
        <v>0</v>
      </c>
      <c r="AP10" s="278">
        <f t="shared" si="17"/>
        <v>0</v>
      </c>
      <c r="AQ10" s="278">
        <f t="shared" si="47"/>
        <v>0</v>
      </c>
      <c r="AR10" s="278">
        <f t="shared" si="18"/>
        <v>0</v>
      </c>
      <c r="AS10" s="278">
        <f t="shared" si="48"/>
        <v>0</v>
      </c>
      <c r="AT10" s="278">
        <f t="shared" si="19"/>
        <v>0</v>
      </c>
      <c r="AU10" s="278">
        <f t="shared" si="49"/>
        <v>0</v>
      </c>
      <c r="AV10" s="278">
        <f t="shared" si="20"/>
        <v>0</v>
      </c>
      <c r="AW10" s="278">
        <f t="shared" si="50"/>
        <v>0</v>
      </c>
      <c r="AX10" s="278">
        <f t="shared" si="21"/>
        <v>0</v>
      </c>
      <c r="AY10" s="278">
        <f t="shared" si="51"/>
        <v>0</v>
      </c>
      <c r="AZ10" s="278">
        <f t="shared" si="22"/>
        <v>0</v>
      </c>
      <c r="BA10" s="278">
        <f t="shared" si="52"/>
        <v>0</v>
      </c>
      <c r="BB10" s="278">
        <f t="shared" si="23"/>
        <v>0</v>
      </c>
      <c r="BC10" s="278">
        <f t="shared" si="53"/>
        <v>0</v>
      </c>
      <c r="BD10" s="278">
        <f t="shared" si="24"/>
        <v>31</v>
      </c>
      <c r="BE10" s="278">
        <f t="shared" si="54"/>
        <v>31</v>
      </c>
      <c r="BF10" s="278">
        <f t="shared" si="25"/>
        <v>21</v>
      </c>
      <c r="BG10" s="278">
        <f t="shared" si="55"/>
        <v>21</v>
      </c>
      <c r="BH10" s="278">
        <f t="shared" si="26"/>
        <v>0</v>
      </c>
      <c r="BI10" s="27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8">
        <f t="shared" si="28"/>
        <v>0</v>
      </c>
      <c r="G11" s="278">
        <f t="shared" si="29"/>
        <v>0</v>
      </c>
      <c r="H11" s="278">
        <f t="shared" si="0"/>
        <v>0</v>
      </c>
      <c r="I11" s="278">
        <f t="shared" si="30"/>
        <v>0</v>
      </c>
      <c r="J11" s="278">
        <f t="shared" si="1"/>
        <v>0</v>
      </c>
      <c r="K11" s="278">
        <f t="shared" si="31"/>
        <v>0</v>
      </c>
      <c r="L11" s="278">
        <f t="shared" si="2"/>
        <v>0</v>
      </c>
      <c r="M11" s="278">
        <f t="shared" si="32"/>
        <v>0</v>
      </c>
      <c r="N11" s="278">
        <f t="shared" si="3"/>
        <v>0</v>
      </c>
      <c r="O11" s="278">
        <f t="shared" si="33"/>
        <v>0</v>
      </c>
      <c r="P11" s="278">
        <f t="shared" si="4"/>
        <v>0</v>
      </c>
      <c r="Q11" s="278">
        <f t="shared" si="34"/>
        <v>0</v>
      </c>
      <c r="R11" s="278">
        <f t="shared" si="5"/>
        <v>0</v>
      </c>
      <c r="S11" s="278">
        <f t="shared" si="35"/>
        <v>0</v>
      </c>
      <c r="T11" s="278">
        <f t="shared" si="6"/>
        <v>0</v>
      </c>
      <c r="U11" s="278">
        <f t="shared" si="36"/>
        <v>0</v>
      </c>
      <c r="V11" s="278">
        <f t="shared" si="7"/>
        <v>0</v>
      </c>
      <c r="W11" s="278">
        <f t="shared" si="37"/>
        <v>0</v>
      </c>
      <c r="X11" s="278">
        <f t="shared" si="8"/>
        <v>1</v>
      </c>
      <c r="Y11" s="278">
        <f t="shared" si="38"/>
        <v>1</v>
      </c>
      <c r="Z11" s="278">
        <f t="shared" si="9"/>
        <v>0</v>
      </c>
      <c r="AA11" s="278">
        <f t="shared" si="39"/>
        <v>0</v>
      </c>
      <c r="AB11" s="278">
        <f t="shared" si="10"/>
        <v>0</v>
      </c>
      <c r="AC11" s="278">
        <f t="shared" si="40"/>
        <v>0</v>
      </c>
      <c r="AD11" s="278">
        <f t="shared" si="11"/>
        <v>0</v>
      </c>
      <c r="AE11" s="278">
        <f t="shared" si="41"/>
        <v>0</v>
      </c>
      <c r="AF11" s="278">
        <f t="shared" si="12"/>
        <v>0</v>
      </c>
      <c r="AG11" s="278">
        <f t="shared" si="42"/>
        <v>0</v>
      </c>
      <c r="AH11" s="278">
        <f t="shared" si="13"/>
        <v>0</v>
      </c>
      <c r="AI11" s="278">
        <f t="shared" si="43"/>
        <v>0</v>
      </c>
      <c r="AJ11" s="278">
        <f t="shared" si="14"/>
        <v>0</v>
      </c>
      <c r="AK11" s="278">
        <f t="shared" si="44"/>
        <v>0</v>
      </c>
      <c r="AL11" s="278">
        <f t="shared" si="15"/>
        <v>0</v>
      </c>
      <c r="AM11" s="278">
        <f t="shared" si="45"/>
        <v>0</v>
      </c>
      <c r="AN11" s="278">
        <f t="shared" si="16"/>
        <v>0</v>
      </c>
      <c r="AO11" s="278">
        <f t="shared" si="46"/>
        <v>0</v>
      </c>
      <c r="AP11" s="278">
        <f t="shared" si="17"/>
        <v>0</v>
      </c>
      <c r="AQ11" s="278">
        <f t="shared" si="47"/>
        <v>0</v>
      </c>
      <c r="AR11" s="278">
        <f t="shared" si="18"/>
        <v>0</v>
      </c>
      <c r="AS11" s="278">
        <f t="shared" si="48"/>
        <v>0</v>
      </c>
      <c r="AT11" s="278">
        <f t="shared" si="19"/>
        <v>0</v>
      </c>
      <c r="AU11" s="278">
        <f t="shared" si="49"/>
        <v>0</v>
      </c>
      <c r="AV11" s="278">
        <f t="shared" si="20"/>
        <v>0</v>
      </c>
      <c r="AW11" s="278">
        <f t="shared" si="50"/>
        <v>0</v>
      </c>
      <c r="AX11" s="278">
        <f t="shared" si="21"/>
        <v>0</v>
      </c>
      <c r="AY11" s="278">
        <f t="shared" si="51"/>
        <v>0</v>
      </c>
      <c r="AZ11" s="278">
        <f t="shared" si="22"/>
        <v>0</v>
      </c>
      <c r="BA11" s="278">
        <f t="shared" si="52"/>
        <v>0</v>
      </c>
      <c r="BB11" s="278">
        <f t="shared" si="23"/>
        <v>0</v>
      </c>
      <c r="BC11" s="278">
        <f t="shared" si="53"/>
        <v>0</v>
      </c>
      <c r="BD11" s="278">
        <f t="shared" si="24"/>
        <v>0</v>
      </c>
      <c r="BE11" s="278">
        <f t="shared" si="54"/>
        <v>0</v>
      </c>
      <c r="BF11" s="278">
        <f t="shared" si="25"/>
        <v>0</v>
      </c>
      <c r="BG11" s="278">
        <f t="shared" si="55"/>
        <v>0</v>
      </c>
      <c r="BH11" s="278">
        <f t="shared" si="26"/>
        <v>0</v>
      </c>
      <c r="BI11" s="27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48" t="s">
        <v>58</v>
      </c>
      <c r="B16" s="49" t="s">
        <v>2323</v>
      </c>
      <c r="C16" s="49"/>
      <c r="D16" s="45"/>
      <c r="E16" s="45"/>
      <c r="F16" s="38" t="s">
        <v>2325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3" customFormat="1" x14ac:dyDescent="0.35">
      <c r="A17" s="348" t="s">
        <v>2322</v>
      </c>
      <c r="B17" s="354" t="s">
        <v>2187</v>
      </c>
      <c r="C17" s="354" t="s">
        <v>64</v>
      </c>
      <c r="D17" s="354" t="s">
        <v>2188</v>
      </c>
      <c r="E17" s="354" t="s">
        <v>2324</v>
      </c>
      <c r="F17" s="355">
        <v>44400</v>
      </c>
      <c r="G17" s="355"/>
      <c r="H17" s="355">
        <v>44407</v>
      </c>
      <c r="I17" s="355"/>
      <c r="J17" s="355">
        <v>44414</v>
      </c>
      <c r="K17" s="355"/>
      <c r="L17" s="355">
        <v>44421</v>
      </c>
      <c r="M17" s="355"/>
      <c r="N17" s="355">
        <v>44428</v>
      </c>
      <c r="O17" s="355"/>
      <c r="P17" s="355">
        <v>44435</v>
      </c>
      <c r="Q17" s="355"/>
    </row>
    <row r="18" spans="1:17" x14ac:dyDescent="0.35">
      <c r="A18" s="45" t="s">
        <v>30</v>
      </c>
      <c r="B18" s="45"/>
      <c r="C18" s="45"/>
      <c r="D18" s="45"/>
      <c r="E18" s="45"/>
      <c r="F18" s="38" t="s">
        <v>2187</v>
      </c>
      <c r="G18" s="38" t="s">
        <v>2188</v>
      </c>
      <c r="H18" s="38" t="s">
        <v>2187</v>
      </c>
      <c r="I18" s="38" t="s">
        <v>2188</v>
      </c>
      <c r="J18" s="38" t="s">
        <v>2187</v>
      </c>
      <c r="K18" s="38" t="s">
        <v>2188</v>
      </c>
      <c r="L18" s="38" t="s">
        <v>2187</v>
      </c>
      <c r="M18" s="38" t="s">
        <v>2188</v>
      </c>
      <c r="N18" s="38" t="s">
        <v>2187</v>
      </c>
      <c r="O18" s="38" t="s">
        <v>2188</v>
      </c>
      <c r="P18" s="38" t="s">
        <v>2187</v>
      </c>
      <c r="Q18" s="38" t="s">
        <v>2188</v>
      </c>
    </row>
    <row r="19" spans="1:17" x14ac:dyDescent="0.35">
      <c r="A19" s="51" t="s">
        <v>77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8">
        <v>9</v>
      </c>
      <c r="G19" s="278">
        <v>8</v>
      </c>
      <c r="H19" s="278">
        <v>6</v>
      </c>
      <c r="I19" s="278">
        <v>4</v>
      </c>
    </row>
    <row r="20" spans="1:17" x14ac:dyDescent="0.35">
      <c r="A20" s="51" t="s">
        <v>78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8">
        <v>43</v>
      </c>
      <c r="I20" s="278">
        <v>17</v>
      </c>
      <c r="J20" s="278">
        <v>26</v>
      </c>
    </row>
    <row r="21" spans="1:17" x14ac:dyDescent="0.35">
      <c r="A21" s="51" t="s">
        <v>79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8">
        <v>39</v>
      </c>
    </row>
    <row r="22" spans="1:17" x14ac:dyDescent="0.35">
      <c r="A22" s="51" t="s">
        <v>80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8">
        <v>6</v>
      </c>
      <c r="L22" s="278">
        <v>59</v>
      </c>
    </row>
    <row r="23" spans="1:17" x14ac:dyDescent="0.35">
      <c r="A23" s="51" t="s">
        <v>81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8">
        <v>30</v>
      </c>
      <c r="G23" s="278">
        <v>10</v>
      </c>
      <c r="N23" s="278">
        <v>52</v>
      </c>
    </row>
    <row r="24" spans="1:17" x14ac:dyDescent="0.35">
      <c r="A24" s="51" t="s">
        <v>82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8">
        <v>14</v>
      </c>
      <c r="G24" s="278">
        <v>12</v>
      </c>
      <c r="J24" s="278">
        <v>1</v>
      </c>
      <c r="N24" s="278">
        <v>14</v>
      </c>
      <c r="P24" s="278">
        <v>53</v>
      </c>
    </row>
    <row r="25" spans="1:17" x14ac:dyDescent="0.35">
      <c r="A25" s="51" t="s">
        <v>84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8">
        <v>15</v>
      </c>
    </row>
    <row r="26" spans="1:17" x14ac:dyDescent="0.35">
      <c r="A26" s="51" t="s">
        <v>85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8">
        <v>1</v>
      </c>
    </row>
    <row r="27" spans="1:17" x14ac:dyDescent="0.35">
      <c r="A27" s="51" t="s">
        <v>56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584" t="s">
        <v>2325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78" t="s">
        <v>2185</v>
      </c>
      <c r="DK40" s="278" t="s">
        <v>2186</v>
      </c>
    </row>
    <row r="41" spans="1:115" ht="15.75" customHeight="1" x14ac:dyDescent="0.35">
      <c r="A41" s="582" t="s">
        <v>30</v>
      </c>
      <c r="B41" s="278" t="s">
        <v>2187</v>
      </c>
      <c r="C41" s="278" t="s">
        <v>2188</v>
      </c>
      <c r="D41" s="278" t="s">
        <v>2187</v>
      </c>
      <c r="E41" s="278" t="s">
        <v>2188</v>
      </c>
      <c r="F41" s="278" t="s">
        <v>2187</v>
      </c>
      <c r="G41" s="278" t="s">
        <v>2188</v>
      </c>
      <c r="H41" s="278" t="s">
        <v>2187</v>
      </c>
      <c r="I41" s="278" t="s">
        <v>2188</v>
      </c>
      <c r="J41" s="278" t="s">
        <v>2187</v>
      </c>
      <c r="K41" s="278" t="s">
        <v>2188</v>
      </c>
      <c r="L41" s="278" t="s">
        <v>2187</v>
      </c>
      <c r="M41" s="278" t="s">
        <v>2188</v>
      </c>
      <c r="N41" s="278" t="s">
        <v>2187</v>
      </c>
      <c r="O41" s="278" t="s">
        <v>2188</v>
      </c>
      <c r="P41" s="278" t="s">
        <v>2187</v>
      </c>
      <c r="Q41" s="278" t="s">
        <v>2188</v>
      </c>
      <c r="R41" s="278" t="s">
        <v>2187</v>
      </c>
      <c r="S41" s="278" t="s">
        <v>2188</v>
      </c>
      <c r="T41" s="278" t="s">
        <v>2187</v>
      </c>
      <c r="U41" s="278" t="s">
        <v>2188</v>
      </c>
      <c r="V41" s="278" t="s">
        <v>2187</v>
      </c>
      <c r="W41" s="278" t="s">
        <v>2188</v>
      </c>
      <c r="X41" s="278" t="s">
        <v>2187</v>
      </c>
      <c r="Y41" s="278" t="s">
        <v>2188</v>
      </c>
      <c r="Z41" s="278" t="s">
        <v>2187</v>
      </c>
      <c r="AA41" s="278" t="s">
        <v>2188</v>
      </c>
      <c r="AB41" s="278" t="s">
        <v>2187</v>
      </c>
      <c r="AC41" s="278" t="s">
        <v>2188</v>
      </c>
      <c r="AD41" s="278" t="s">
        <v>2187</v>
      </c>
      <c r="AE41" s="278" t="s">
        <v>2188</v>
      </c>
      <c r="AF41" s="278" t="s">
        <v>2187</v>
      </c>
      <c r="AG41" s="278" t="s">
        <v>2188</v>
      </c>
      <c r="AH41" s="278" t="s">
        <v>2187</v>
      </c>
      <c r="AI41" s="278" t="s">
        <v>2188</v>
      </c>
      <c r="AJ41" s="278" t="s">
        <v>2187</v>
      </c>
      <c r="AK41" s="278" t="s">
        <v>2188</v>
      </c>
      <c r="AL41" s="278" t="s">
        <v>2187</v>
      </c>
      <c r="AM41" s="278" t="s">
        <v>2188</v>
      </c>
      <c r="AN41" s="278" t="s">
        <v>2187</v>
      </c>
      <c r="AO41" s="278" t="s">
        <v>2188</v>
      </c>
      <c r="AP41" s="278" t="s">
        <v>2187</v>
      </c>
      <c r="AQ41" s="278" t="s">
        <v>2188</v>
      </c>
      <c r="AR41" s="278" t="s">
        <v>2187</v>
      </c>
      <c r="AS41" s="278" t="s">
        <v>2188</v>
      </c>
      <c r="AT41" s="278" t="s">
        <v>2187</v>
      </c>
      <c r="AU41" s="278" t="s">
        <v>2188</v>
      </c>
      <c r="AV41" s="278" t="s">
        <v>2187</v>
      </c>
      <c r="AW41" s="278" t="s">
        <v>2188</v>
      </c>
      <c r="AX41" s="278" t="s">
        <v>2187</v>
      </c>
      <c r="AY41" s="278" t="s">
        <v>2188</v>
      </c>
      <c r="AZ41" s="278" t="s">
        <v>2187</v>
      </c>
      <c r="BA41" s="278" t="s">
        <v>2188</v>
      </c>
      <c r="BB41" s="278" t="s">
        <v>2187</v>
      </c>
      <c r="BC41" s="278" t="s">
        <v>2188</v>
      </c>
      <c r="BD41" s="278" t="s">
        <v>2187</v>
      </c>
      <c r="BE41" s="278" t="s">
        <v>2188</v>
      </c>
      <c r="BF41" s="278" t="s">
        <v>2187</v>
      </c>
      <c r="BG41" s="278" t="s">
        <v>2188</v>
      </c>
      <c r="BH41" s="278" t="s">
        <v>2187</v>
      </c>
      <c r="BI41" s="278" t="s">
        <v>2188</v>
      </c>
      <c r="BJ41" s="278" t="s">
        <v>2187</v>
      </c>
      <c r="BK41" s="278" t="s">
        <v>2188</v>
      </c>
      <c r="BL41" s="278" t="s">
        <v>2187</v>
      </c>
      <c r="BM41" s="278" t="s">
        <v>2188</v>
      </c>
      <c r="BN41" s="278" t="s">
        <v>2187</v>
      </c>
      <c r="BO41" s="278" t="s">
        <v>2188</v>
      </c>
      <c r="BP41" s="278" t="s">
        <v>2187</v>
      </c>
      <c r="BQ41" s="278" t="s">
        <v>2188</v>
      </c>
      <c r="BR41" s="278" t="s">
        <v>2187</v>
      </c>
      <c r="BS41" s="278" t="s">
        <v>2188</v>
      </c>
      <c r="BT41" s="278" t="s">
        <v>2187</v>
      </c>
      <c r="BU41" s="278" t="s">
        <v>2188</v>
      </c>
      <c r="BV41" s="278" t="s">
        <v>2187</v>
      </c>
      <c r="BW41" s="278" t="s">
        <v>2188</v>
      </c>
      <c r="BX41" s="278" t="s">
        <v>2187</v>
      </c>
      <c r="BY41" s="278" t="s">
        <v>2188</v>
      </c>
      <c r="BZ41" s="278" t="s">
        <v>2187</v>
      </c>
      <c r="CA41" s="278" t="s">
        <v>2188</v>
      </c>
      <c r="CB41" s="278" t="s">
        <v>2187</v>
      </c>
      <c r="CC41" s="278" t="s">
        <v>2188</v>
      </c>
      <c r="CD41" s="278" t="s">
        <v>2187</v>
      </c>
      <c r="CE41" s="278" t="s">
        <v>2188</v>
      </c>
      <c r="CF41" s="278" t="s">
        <v>2187</v>
      </c>
      <c r="CG41" s="278" t="s">
        <v>2188</v>
      </c>
      <c r="CH41" s="278" t="s">
        <v>2187</v>
      </c>
      <c r="CI41" s="278" t="s">
        <v>2188</v>
      </c>
      <c r="CJ41" s="278" t="s">
        <v>2187</v>
      </c>
      <c r="CK41" s="278" t="s">
        <v>2188</v>
      </c>
      <c r="CL41" s="278" t="s">
        <v>2187</v>
      </c>
      <c r="CM41" s="278" t="s">
        <v>2188</v>
      </c>
      <c r="CN41" s="278" t="s">
        <v>2187</v>
      </c>
      <c r="CO41" s="278" t="s">
        <v>2188</v>
      </c>
      <c r="CP41" s="278" t="s">
        <v>2187</v>
      </c>
      <c r="CQ41" s="278" t="s">
        <v>2188</v>
      </c>
      <c r="CR41" s="278" t="s">
        <v>2187</v>
      </c>
      <c r="CS41" s="278" t="s">
        <v>2188</v>
      </c>
      <c r="CT41" s="278" t="s">
        <v>2187</v>
      </c>
      <c r="CU41" s="278" t="s">
        <v>2188</v>
      </c>
      <c r="CV41" s="278" t="s">
        <v>2187</v>
      </c>
      <c r="CW41" s="278" t="s">
        <v>2188</v>
      </c>
      <c r="CX41" s="278" t="s">
        <v>2187</v>
      </c>
      <c r="CY41" s="278" t="s">
        <v>2188</v>
      </c>
      <c r="CZ41" s="278" t="s">
        <v>2187</v>
      </c>
      <c r="DA41" s="278" t="s">
        <v>2188</v>
      </c>
      <c r="DB41" s="278" t="s">
        <v>2187</v>
      </c>
      <c r="DC41" s="278" t="s">
        <v>2188</v>
      </c>
      <c r="DD41" s="278" t="s">
        <v>2187</v>
      </c>
      <c r="DE41" s="278" t="s">
        <v>2188</v>
      </c>
      <c r="DF41" s="278" t="s">
        <v>2187</v>
      </c>
      <c r="DG41" s="278" t="s">
        <v>2188</v>
      </c>
      <c r="DH41" s="278" t="s">
        <v>2187</v>
      </c>
      <c r="DI41" s="278" t="s">
        <v>2188</v>
      </c>
    </row>
    <row r="42" spans="1:115" ht="15.75" customHeight="1" x14ac:dyDescent="0.35">
      <c r="A42" s="2" t="s">
        <v>77</v>
      </c>
      <c r="B42" s="583">
        <v>8</v>
      </c>
      <c r="C42" s="583">
        <v>8</v>
      </c>
      <c r="D42" s="583">
        <v>4</v>
      </c>
      <c r="E42" s="583">
        <v>4</v>
      </c>
      <c r="F42" s="583">
        <v>3</v>
      </c>
      <c r="G42" s="583">
        <v>3</v>
      </c>
      <c r="H42" s="583"/>
      <c r="I42" s="583"/>
      <c r="J42" s="583"/>
      <c r="K42" s="583"/>
      <c r="L42" s="583"/>
      <c r="M42" s="583"/>
      <c r="N42" s="583"/>
      <c r="O42" s="583"/>
      <c r="P42" s="583"/>
      <c r="Q42" s="583"/>
      <c r="R42" s="583"/>
      <c r="S42" s="583"/>
      <c r="T42" s="583"/>
      <c r="U42" s="583"/>
      <c r="V42" s="583"/>
      <c r="W42" s="583"/>
      <c r="X42" s="583"/>
      <c r="Y42" s="583"/>
      <c r="Z42" s="583"/>
      <c r="AA42" s="583"/>
      <c r="AB42" s="583"/>
      <c r="AC42" s="583"/>
      <c r="AD42" s="583"/>
      <c r="AE42" s="583"/>
      <c r="AF42" s="583"/>
      <c r="AG42" s="583"/>
      <c r="AH42" s="583"/>
      <c r="AI42" s="583"/>
      <c r="AJ42" s="583"/>
      <c r="AK42" s="583"/>
      <c r="AL42" s="583"/>
      <c r="AM42" s="583"/>
      <c r="AN42" s="583"/>
      <c r="AO42" s="583"/>
      <c r="AP42" s="583"/>
      <c r="AQ42" s="583"/>
      <c r="AR42" s="583"/>
      <c r="AS42" s="583"/>
      <c r="AT42" s="583"/>
      <c r="AU42" s="583"/>
      <c r="AV42" s="583"/>
      <c r="AW42" s="583"/>
      <c r="AX42" s="583"/>
      <c r="AY42" s="583"/>
      <c r="AZ42" s="583"/>
      <c r="BA42" s="583"/>
      <c r="BB42" s="583"/>
      <c r="BC42" s="583"/>
      <c r="BD42" s="583"/>
      <c r="BE42" s="583"/>
      <c r="BF42" s="583"/>
      <c r="BG42" s="583"/>
      <c r="BH42" s="583"/>
      <c r="BI42" s="583"/>
      <c r="BJ42" s="583"/>
      <c r="BK42" s="583"/>
      <c r="BL42" s="583"/>
      <c r="BM42" s="583"/>
      <c r="BN42" s="583"/>
      <c r="BO42" s="583"/>
      <c r="BP42" s="583"/>
      <c r="BQ42" s="583"/>
      <c r="BR42" s="583"/>
      <c r="BS42" s="583"/>
      <c r="BT42" s="583"/>
      <c r="BU42" s="583"/>
      <c r="BV42" s="583"/>
      <c r="BW42" s="583"/>
      <c r="BX42" s="583"/>
      <c r="BY42" s="583"/>
      <c r="BZ42" s="583"/>
      <c r="CA42" s="583"/>
      <c r="CB42" s="583"/>
      <c r="CC42" s="583"/>
      <c r="CD42" s="583"/>
      <c r="CE42" s="583"/>
      <c r="CF42" s="583"/>
      <c r="CG42" s="583"/>
      <c r="CH42" s="583"/>
      <c r="CI42" s="583"/>
      <c r="CJ42" s="583"/>
      <c r="CK42" s="583"/>
      <c r="CL42" s="583"/>
      <c r="CM42" s="583"/>
      <c r="CN42" s="583"/>
      <c r="CO42" s="583"/>
      <c r="CP42" s="583"/>
      <c r="CQ42" s="583"/>
      <c r="CR42" s="583"/>
      <c r="CS42" s="583"/>
      <c r="CT42" s="583"/>
      <c r="CU42" s="583"/>
      <c r="CV42" s="583"/>
      <c r="CW42" s="583"/>
      <c r="CX42" s="583"/>
      <c r="CY42" s="583"/>
      <c r="CZ42" s="583"/>
      <c r="DA42" s="583"/>
      <c r="DB42" s="583"/>
      <c r="DC42" s="583"/>
      <c r="DD42" s="583"/>
      <c r="DE42" s="583"/>
      <c r="DF42" s="583"/>
      <c r="DG42" s="583"/>
      <c r="DH42" s="583"/>
      <c r="DI42" s="583"/>
      <c r="DJ42" s="583">
        <v>15</v>
      </c>
      <c r="DK42" s="583">
        <v>15</v>
      </c>
    </row>
    <row r="43" spans="1:115" ht="15.75" customHeight="1" x14ac:dyDescent="0.35">
      <c r="A43" s="2" t="s">
        <v>78</v>
      </c>
      <c r="B43" s="583"/>
      <c r="C43" s="583"/>
      <c r="D43" s="583">
        <v>5</v>
      </c>
      <c r="E43" s="583">
        <v>5</v>
      </c>
      <c r="F43" s="583"/>
      <c r="G43" s="583"/>
      <c r="H43" s="583">
        <v>10</v>
      </c>
      <c r="I43" s="583">
        <v>10</v>
      </c>
      <c r="J43" s="583">
        <v>9</v>
      </c>
      <c r="K43" s="583">
        <v>9</v>
      </c>
      <c r="L43" s="583">
        <v>6</v>
      </c>
      <c r="M43" s="583">
        <v>6</v>
      </c>
      <c r="N43" s="583">
        <v>4</v>
      </c>
      <c r="O43" s="583">
        <v>4</v>
      </c>
      <c r="P43" s="583">
        <v>4</v>
      </c>
      <c r="Q43" s="583">
        <v>4</v>
      </c>
      <c r="R43" s="583">
        <v>4</v>
      </c>
      <c r="S43" s="583">
        <v>4</v>
      </c>
      <c r="T43" s="583"/>
      <c r="U43" s="583"/>
      <c r="V43" s="583"/>
      <c r="W43" s="583"/>
      <c r="X43" s="583"/>
      <c r="Y43" s="583"/>
      <c r="Z43" s="583">
        <v>4</v>
      </c>
      <c r="AA43" s="583">
        <v>4</v>
      </c>
      <c r="AB43" s="583"/>
      <c r="AC43" s="583"/>
      <c r="AD43" s="583"/>
      <c r="AE43" s="583"/>
      <c r="AF43" s="583"/>
      <c r="AG43" s="583"/>
      <c r="AH43" s="583"/>
      <c r="AI43" s="583"/>
      <c r="AJ43" s="583"/>
      <c r="AK43" s="583"/>
      <c r="AL43" s="583">
        <v>3</v>
      </c>
      <c r="AM43" s="583">
        <v>3</v>
      </c>
      <c r="AN43" s="583"/>
      <c r="AO43" s="583"/>
      <c r="AP43" s="583"/>
      <c r="AQ43" s="583"/>
      <c r="AR43" s="583"/>
      <c r="AS43" s="583"/>
      <c r="AT43" s="583"/>
      <c r="AU43" s="583"/>
      <c r="AV43" s="583"/>
      <c r="AW43" s="583"/>
      <c r="AX43" s="583"/>
      <c r="AY43" s="583"/>
      <c r="AZ43" s="583"/>
      <c r="BA43" s="583"/>
      <c r="BB43" s="583"/>
      <c r="BC43" s="583"/>
      <c r="BD43" s="583"/>
      <c r="BE43" s="583"/>
      <c r="BF43" s="583"/>
      <c r="BG43" s="583"/>
      <c r="BH43" s="583"/>
      <c r="BI43" s="583"/>
      <c r="BJ43" s="583"/>
      <c r="BK43" s="583"/>
      <c r="BL43" s="583">
        <v>6</v>
      </c>
      <c r="BM43" s="583">
        <v>6</v>
      </c>
      <c r="BN43" s="583"/>
      <c r="BO43" s="583"/>
      <c r="BP43" s="583">
        <v>1</v>
      </c>
      <c r="BQ43" s="583">
        <v>1</v>
      </c>
      <c r="BR43" s="583">
        <v>5</v>
      </c>
      <c r="BS43" s="583">
        <v>5</v>
      </c>
      <c r="BT43" s="583">
        <v>4</v>
      </c>
      <c r="BU43" s="583">
        <v>4</v>
      </c>
      <c r="BV43" s="583"/>
      <c r="BW43" s="583"/>
      <c r="BX43" s="583"/>
      <c r="BY43" s="583"/>
      <c r="BZ43" s="583"/>
      <c r="CA43" s="583"/>
      <c r="CB43" s="583">
        <v>14</v>
      </c>
      <c r="CC43" s="583">
        <v>14</v>
      </c>
      <c r="CD43" s="583"/>
      <c r="CE43" s="583"/>
      <c r="CF43" s="583"/>
      <c r="CG43" s="583"/>
      <c r="CH43" s="583"/>
      <c r="CI43" s="583"/>
      <c r="CJ43" s="583"/>
      <c r="CK43" s="583"/>
      <c r="CL43" s="583"/>
      <c r="CM43" s="583"/>
      <c r="CN43" s="583"/>
      <c r="CO43" s="583"/>
      <c r="CP43" s="583"/>
      <c r="CQ43" s="583"/>
      <c r="CR43" s="583"/>
      <c r="CS43" s="583"/>
      <c r="CT43" s="583"/>
      <c r="CU43" s="583"/>
      <c r="CV43" s="583"/>
      <c r="CW43" s="583"/>
      <c r="CX43" s="583"/>
      <c r="CY43" s="583"/>
      <c r="CZ43" s="583"/>
      <c r="DA43" s="583"/>
      <c r="DB43" s="583"/>
      <c r="DC43" s="583"/>
      <c r="DD43" s="583"/>
      <c r="DE43" s="583"/>
      <c r="DF43" s="583"/>
      <c r="DG43" s="583"/>
      <c r="DH43" s="583"/>
      <c r="DI43" s="583"/>
      <c r="DJ43" s="583">
        <v>79</v>
      </c>
      <c r="DK43" s="583">
        <v>79</v>
      </c>
    </row>
    <row r="44" spans="1:115" ht="15.75" customHeight="1" x14ac:dyDescent="0.35">
      <c r="A44" s="2" t="s">
        <v>79</v>
      </c>
      <c r="B44" s="583"/>
      <c r="C44" s="583"/>
      <c r="D44" s="583"/>
      <c r="E44" s="583"/>
      <c r="F44" s="583"/>
      <c r="G44" s="583"/>
      <c r="H44" s="583"/>
      <c r="I44" s="583"/>
      <c r="J44" s="583"/>
      <c r="K44" s="583"/>
      <c r="L44" s="583"/>
      <c r="M44" s="583"/>
      <c r="N44" s="583"/>
      <c r="O44" s="583"/>
      <c r="P44" s="583"/>
      <c r="Q44" s="583"/>
      <c r="R44" s="583"/>
      <c r="S44" s="583"/>
      <c r="T44" s="583">
        <v>1</v>
      </c>
      <c r="U44" s="583">
        <v>1</v>
      </c>
      <c r="V44" s="583">
        <v>3</v>
      </c>
      <c r="W44" s="583">
        <v>3</v>
      </c>
      <c r="X44" s="583">
        <v>3</v>
      </c>
      <c r="Y44" s="583">
        <v>3</v>
      </c>
      <c r="Z44" s="583">
        <v>1</v>
      </c>
      <c r="AA44" s="583">
        <v>1</v>
      </c>
      <c r="AB44" s="583">
        <v>5</v>
      </c>
      <c r="AC44" s="583">
        <v>5</v>
      </c>
      <c r="AD44" s="583"/>
      <c r="AE44" s="583"/>
      <c r="AF44" s="583"/>
      <c r="AG44" s="583"/>
      <c r="AH44" s="583">
        <v>5</v>
      </c>
      <c r="AI44" s="583">
        <v>5</v>
      </c>
      <c r="AJ44" s="583"/>
      <c r="AK44" s="583"/>
      <c r="AL44" s="583"/>
      <c r="AM44" s="583"/>
      <c r="AN44" s="583"/>
      <c r="AO44" s="583"/>
      <c r="AP44" s="583"/>
      <c r="AQ44" s="583"/>
      <c r="AR44" s="583"/>
      <c r="AS44" s="583"/>
      <c r="AT44" s="583"/>
      <c r="AU44" s="583"/>
      <c r="AV44" s="583"/>
      <c r="AW44" s="583"/>
      <c r="AX44" s="583"/>
      <c r="AY44" s="583"/>
      <c r="AZ44" s="583"/>
      <c r="BA44" s="583"/>
      <c r="BB44" s="583"/>
      <c r="BC44" s="583"/>
      <c r="BD44" s="583"/>
      <c r="BE44" s="583"/>
      <c r="BF44" s="583"/>
      <c r="BG44" s="583"/>
      <c r="BH44" s="583"/>
      <c r="BI44" s="583"/>
      <c r="BJ44" s="583"/>
      <c r="BK44" s="583"/>
      <c r="BL44" s="583">
        <v>3</v>
      </c>
      <c r="BM44" s="583">
        <v>3</v>
      </c>
      <c r="BN44" s="583"/>
      <c r="BO44" s="583"/>
      <c r="BP44" s="583">
        <v>16</v>
      </c>
      <c r="BQ44" s="583">
        <v>16</v>
      </c>
      <c r="BR44" s="583"/>
      <c r="BS44" s="583"/>
      <c r="BT44" s="583">
        <v>1</v>
      </c>
      <c r="BU44" s="583">
        <v>1</v>
      </c>
      <c r="BV44" s="583"/>
      <c r="BW44" s="583"/>
      <c r="BX44" s="583"/>
      <c r="BY44" s="583"/>
      <c r="BZ44" s="583"/>
      <c r="CA44" s="583"/>
      <c r="CB44" s="583"/>
      <c r="CC44" s="583"/>
      <c r="CD44" s="583"/>
      <c r="CE44" s="583"/>
      <c r="CF44" s="583"/>
      <c r="CG44" s="583"/>
      <c r="CH44" s="583"/>
      <c r="CI44" s="583"/>
      <c r="CJ44" s="583"/>
      <c r="CK44" s="583"/>
      <c r="CL44" s="583"/>
      <c r="CM44" s="583"/>
      <c r="CN44" s="583"/>
      <c r="CO44" s="583"/>
      <c r="CP44" s="583"/>
      <c r="CQ44" s="583"/>
      <c r="CR44" s="583"/>
      <c r="CS44" s="583"/>
      <c r="CT44" s="583"/>
      <c r="CU44" s="583"/>
      <c r="CV44" s="583"/>
      <c r="CW44" s="583"/>
      <c r="CX44" s="583"/>
      <c r="CY44" s="583"/>
      <c r="CZ44" s="583"/>
      <c r="DA44" s="583"/>
      <c r="DB44" s="583"/>
      <c r="DC44" s="583"/>
      <c r="DD44" s="583"/>
      <c r="DE44" s="583"/>
      <c r="DF44" s="583"/>
      <c r="DG44" s="583"/>
      <c r="DH44" s="583"/>
      <c r="DI44" s="583"/>
      <c r="DJ44" s="583">
        <v>38</v>
      </c>
      <c r="DK44" s="583">
        <v>38</v>
      </c>
    </row>
    <row r="45" spans="1:115" ht="15.75" customHeight="1" x14ac:dyDescent="0.35">
      <c r="A45" s="2" t="s">
        <v>80</v>
      </c>
      <c r="B45" s="583"/>
      <c r="C45" s="583"/>
      <c r="D45" s="583"/>
      <c r="E45" s="583"/>
      <c r="F45" s="583"/>
      <c r="G45" s="583"/>
      <c r="H45" s="583"/>
      <c r="I45" s="583"/>
      <c r="J45" s="583"/>
      <c r="K45" s="583"/>
      <c r="L45" s="583"/>
      <c r="M45" s="583"/>
      <c r="N45" s="583"/>
      <c r="O45" s="583"/>
      <c r="P45" s="583"/>
      <c r="Q45" s="583"/>
      <c r="R45" s="583"/>
      <c r="S45" s="583"/>
      <c r="T45" s="583">
        <v>3</v>
      </c>
      <c r="U45" s="583">
        <v>3</v>
      </c>
      <c r="V45" s="583"/>
      <c r="W45" s="583"/>
      <c r="X45" s="583"/>
      <c r="Y45" s="583"/>
      <c r="Z45" s="583"/>
      <c r="AA45" s="583"/>
      <c r="AB45" s="583"/>
      <c r="AC45" s="583"/>
      <c r="AD45" s="583">
        <v>6</v>
      </c>
      <c r="AE45" s="583">
        <v>6</v>
      </c>
      <c r="AF45" s="583">
        <v>4</v>
      </c>
      <c r="AG45" s="583">
        <v>4</v>
      </c>
      <c r="AH45" s="583">
        <v>1</v>
      </c>
      <c r="AI45" s="583">
        <v>1</v>
      </c>
      <c r="AJ45" s="583">
        <v>4</v>
      </c>
      <c r="AK45" s="583">
        <v>4</v>
      </c>
      <c r="AL45" s="583"/>
      <c r="AM45" s="583"/>
      <c r="AN45" s="583">
        <v>12</v>
      </c>
      <c r="AO45" s="583">
        <v>12</v>
      </c>
      <c r="AP45" s="583">
        <v>5</v>
      </c>
      <c r="AQ45" s="583">
        <v>5</v>
      </c>
      <c r="AR45" s="583"/>
      <c r="AS45" s="583"/>
      <c r="AT45" s="583"/>
      <c r="AU45" s="583"/>
      <c r="AV45" s="583"/>
      <c r="AW45" s="583"/>
      <c r="AX45" s="583"/>
      <c r="AY45" s="583"/>
      <c r="AZ45" s="583"/>
      <c r="BA45" s="583"/>
      <c r="BB45" s="583"/>
      <c r="BC45" s="583"/>
      <c r="BD45" s="583">
        <v>6</v>
      </c>
      <c r="BE45" s="583">
        <v>6</v>
      </c>
      <c r="BF45" s="583">
        <v>11</v>
      </c>
      <c r="BG45" s="583">
        <v>11</v>
      </c>
      <c r="BH45" s="583">
        <v>2</v>
      </c>
      <c r="BI45" s="583">
        <v>2</v>
      </c>
      <c r="BJ45" s="583">
        <v>1</v>
      </c>
      <c r="BK45" s="583">
        <v>1</v>
      </c>
      <c r="BL45" s="583"/>
      <c r="BM45" s="583"/>
      <c r="BN45" s="583">
        <v>7</v>
      </c>
      <c r="BO45" s="583">
        <v>7</v>
      </c>
      <c r="BP45" s="583"/>
      <c r="BQ45" s="583"/>
      <c r="BR45" s="583"/>
      <c r="BS45" s="583"/>
      <c r="BT45" s="583"/>
      <c r="BU45" s="583"/>
      <c r="BV45" s="583">
        <v>5</v>
      </c>
      <c r="BW45" s="583">
        <v>5</v>
      </c>
      <c r="BX45" s="583">
        <v>8</v>
      </c>
      <c r="BY45" s="583">
        <v>8</v>
      </c>
      <c r="BZ45" s="583"/>
      <c r="CA45" s="583"/>
      <c r="CB45" s="583"/>
      <c r="CC45" s="583"/>
      <c r="CD45" s="583"/>
      <c r="CE45" s="583"/>
      <c r="CF45" s="583"/>
      <c r="CG45" s="583"/>
      <c r="CH45" s="583"/>
      <c r="CI45" s="583"/>
      <c r="CJ45" s="583"/>
      <c r="CK45" s="583"/>
      <c r="CL45" s="583"/>
      <c r="CM45" s="583"/>
      <c r="CN45" s="583"/>
      <c r="CO45" s="583"/>
      <c r="CP45" s="583"/>
      <c r="CQ45" s="583"/>
      <c r="CR45" s="583"/>
      <c r="CS45" s="583"/>
      <c r="CT45" s="583"/>
      <c r="CU45" s="583"/>
      <c r="CV45" s="583"/>
      <c r="CW45" s="583"/>
      <c r="CX45" s="583"/>
      <c r="CY45" s="583"/>
      <c r="CZ45" s="583"/>
      <c r="DA45" s="583"/>
      <c r="DB45" s="583"/>
      <c r="DC45" s="583"/>
      <c r="DD45" s="583"/>
      <c r="DE45" s="583"/>
      <c r="DF45" s="583"/>
      <c r="DG45" s="583"/>
      <c r="DH45" s="583"/>
      <c r="DI45" s="583"/>
      <c r="DJ45" s="583">
        <v>75</v>
      </c>
      <c r="DK45" s="583">
        <v>75</v>
      </c>
    </row>
    <row r="46" spans="1:115" ht="15.75" customHeight="1" x14ac:dyDescent="0.35">
      <c r="A46" s="2" t="s">
        <v>81</v>
      </c>
      <c r="B46" s="583"/>
      <c r="C46" s="583"/>
      <c r="D46" s="583"/>
      <c r="E46" s="583"/>
      <c r="F46" s="583"/>
      <c r="G46" s="583"/>
      <c r="H46" s="583"/>
      <c r="I46" s="583"/>
      <c r="J46" s="583"/>
      <c r="K46" s="583"/>
      <c r="L46" s="583"/>
      <c r="M46" s="583"/>
      <c r="N46" s="583"/>
      <c r="O46" s="583"/>
      <c r="P46" s="583"/>
      <c r="Q46" s="583"/>
      <c r="R46" s="583"/>
      <c r="S46" s="583"/>
      <c r="T46" s="583"/>
      <c r="U46" s="583"/>
      <c r="V46" s="583"/>
      <c r="W46" s="583"/>
      <c r="X46" s="583"/>
      <c r="Y46" s="583"/>
      <c r="Z46" s="583"/>
      <c r="AA46" s="583"/>
      <c r="AB46" s="583"/>
      <c r="AC46" s="583"/>
      <c r="AD46" s="583"/>
      <c r="AE46" s="583"/>
      <c r="AF46" s="583"/>
      <c r="AG46" s="583"/>
      <c r="AH46" s="583"/>
      <c r="AI46" s="583"/>
      <c r="AJ46" s="583"/>
      <c r="AK46" s="583"/>
      <c r="AL46" s="583"/>
      <c r="AM46" s="583"/>
      <c r="AN46" s="583"/>
      <c r="AO46" s="583"/>
      <c r="AP46" s="583"/>
      <c r="AQ46" s="583"/>
      <c r="AR46" s="583">
        <v>6</v>
      </c>
      <c r="AS46" s="583">
        <v>6</v>
      </c>
      <c r="AT46" s="583">
        <v>4</v>
      </c>
      <c r="AU46" s="583">
        <v>4</v>
      </c>
      <c r="AV46" s="583">
        <v>8</v>
      </c>
      <c r="AW46" s="583">
        <v>8</v>
      </c>
      <c r="AX46" s="583">
        <v>8</v>
      </c>
      <c r="AY46" s="583">
        <v>8</v>
      </c>
      <c r="AZ46" s="583"/>
      <c r="BA46" s="583"/>
      <c r="BB46" s="583"/>
      <c r="BC46" s="583"/>
      <c r="BD46" s="583"/>
      <c r="BE46" s="583"/>
      <c r="BF46" s="583"/>
      <c r="BG46" s="583"/>
      <c r="BH46" s="583"/>
      <c r="BI46" s="583"/>
      <c r="BJ46" s="583"/>
      <c r="BK46" s="583"/>
      <c r="BL46" s="583"/>
      <c r="BM46" s="583"/>
      <c r="BN46" s="583"/>
      <c r="BO46" s="583"/>
      <c r="BP46" s="583"/>
      <c r="BQ46" s="583"/>
      <c r="BR46" s="583"/>
      <c r="BS46" s="583"/>
      <c r="BT46" s="583"/>
      <c r="BU46" s="583"/>
      <c r="BV46" s="583"/>
      <c r="BW46" s="583"/>
      <c r="BX46" s="583"/>
      <c r="BY46" s="583"/>
      <c r="BZ46" s="583"/>
      <c r="CA46" s="583"/>
      <c r="CB46" s="583"/>
      <c r="CC46" s="583"/>
      <c r="CD46" s="583">
        <v>8</v>
      </c>
      <c r="CE46" s="583">
        <v>8</v>
      </c>
      <c r="CF46" s="583">
        <v>7</v>
      </c>
      <c r="CG46" s="583">
        <v>7</v>
      </c>
      <c r="CH46" s="583"/>
      <c r="CI46" s="583"/>
      <c r="CJ46" s="583">
        <v>3</v>
      </c>
      <c r="CK46" s="583">
        <v>3</v>
      </c>
      <c r="CL46" s="583">
        <v>4</v>
      </c>
      <c r="CM46" s="583">
        <v>4</v>
      </c>
      <c r="CN46" s="583"/>
      <c r="CO46" s="583"/>
      <c r="CP46" s="583">
        <v>7</v>
      </c>
      <c r="CQ46" s="583">
        <v>7</v>
      </c>
      <c r="CR46" s="583">
        <v>5</v>
      </c>
      <c r="CS46" s="583">
        <v>5</v>
      </c>
      <c r="CT46" s="583">
        <v>5</v>
      </c>
      <c r="CU46" s="583">
        <v>5</v>
      </c>
      <c r="CV46" s="583">
        <v>5</v>
      </c>
      <c r="CW46" s="583">
        <v>5</v>
      </c>
      <c r="CX46" s="583"/>
      <c r="CY46" s="583"/>
      <c r="CZ46" s="583">
        <v>8</v>
      </c>
      <c r="DA46" s="583">
        <v>8</v>
      </c>
      <c r="DB46" s="583">
        <v>1</v>
      </c>
      <c r="DC46" s="583">
        <v>1</v>
      </c>
      <c r="DD46" s="583">
        <v>3</v>
      </c>
      <c r="DE46" s="583">
        <v>3</v>
      </c>
      <c r="DF46" s="583">
        <v>5</v>
      </c>
      <c r="DG46" s="583">
        <v>5</v>
      </c>
      <c r="DH46" s="583"/>
      <c r="DI46" s="583"/>
      <c r="DJ46" s="583">
        <v>87</v>
      </c>
      <c r="DK46" s="583">
        <v>87</v>
      </c>
    </row>
    <row r="47" spans="1:115" ht="15.75" customHeight="1" x14ac:dyDescent="0.35">
      <c r="A47" s="2" t="s">
        <v>82</v>
      </c>
      <c r="B47" s="583">
        <v>1</v>
      </c>
      <c r="C47" s="583">
        <v>1</v>
      </c>
      <c r="D47" s="583"/>
      <c r="E47" s="583"/>
      <c r="F47" s="583"/>
      <c r="G47" s="583"/>
      <c r="H47" s="583">
        <v>2</v>
      </c>
      <c r="I47" s="583">
        <v>2</v>
      </c>
      <c r="J47" s="583"/>
      <c r="K47" s="583"/>
      <c r="L47" s="583"/>
      <c r="M47" s="583"/>
      <c r="N47" s="583">
        <v>2</v>
      </c>
      <c r="O47" s="583">
        <v>2</v>
      </c>
      <c r="P47" s="583"/>
      <c r="Q47" s="583"/>
      <c r="R47" s="583"/>
      <c r="S47" s="583"/>
      <c r="T47" s="583"/>
      <c r="U47" s="583"/>
      <c r="V47" s="583">
        <v>1</v>
      </c>
      <c r="W47" s="583">
        <v>1</v>
      </c>
      <c r="X47" s="583"/>
      <c r="Y47" s="583"/>
      <c r="Z47" s="583">
        <v>2</v>
      </c>
      <c r="AA47" s="583">
        <v>2</v>
      </c>
      <c r="AB47" s="583"/>
      <c r="AC47" s="583"/>
      <c r="AD47" s="583">
        <v>1</v>
      </c>
      <c r="AE47" s="583">
        <v>1</v>
      </c>
      <c r="AF47" s="583"/>
      <c r="AG47" s="583"/>
      <c r="AH47" s="583">
        <v>1</v>
      </c>
      <c r="AI47" s="583">
        <v>1</v>
      </c>
      <c r="AJ47" s="583"/>
      <c r="AK47" s="583"/>
      <c r="AL47" s="583"/>
      <c r="AM47" s="583"/>
      <c r="AN47" s="583"/>
      <c r="AO47" s="583"/>
      <c r="AP47" s="583"/>
      <c r="AQ47" s="583"/>
      <c r="AR47" s="583"/>
      <c r="AS47" s="583"/>
      <c r="AT47" s="583"/>
      <c r="AU47" s="583"/>
      <c r="AV47" s="583"/>
      <c r="AW47" s="583"/>
      <c r="AX47" s="583"/>
      <c r="AY47" s="583"/>
      <c r="AZ47" s="583">
        <v>13</v>
      </c>
      <c r="BA47" s="583">
        <v>13</v>
      </c>
      <c r="BB47" s="583">
        <v>22</v>
      </c>
      <c r="BC47" s="583">
        <v>22</v>
      </c>
      <c r="BD47" s="583"/>
      <c r="BE47" s="583"/>
      <c r="BF47" s="583"/>
      <c r="BG47" s="583"/>
      <c r="BH47" s="583"/>
      <c r="BI47" s="583"/>
      <c r="BJ47" s="583"/>
      <c r="BK47" s="583"/>
      <c r="BL47" s="583"/>
      <c r="BM47" s="583"/>
      <c r="BN47" s="583"/>
      <c r="BO47" s="583"/>
      <c r="BP47" s="583">
        <v>1</v>
      </c>
      <c r="BQ47" s="583">
        <v>1</v>
      </c>
      <c r="BR47" s="583"/>
      <c r="BS47" s="583"/>
      <c r="BT47" s="583">
        <v>10</v>
      </c>
      <c r="BU47" s="583">
        <v>10</v>
      </c>
      <c r="BV47" s="583">
        <v>3</v>
      </c>
      <c r="BW47" s="583">
        <v>3</v>
      </c>
      <c r="BX47" s="583"/>
      <c r="BY47" s="583"/>
      <c r="BZ47" s="583">
        <v>4</v>
      </c>
      <c r="CA47" s="583">
        <v>4</v>
      </c>
      <c r="CB47" s="583"/>
      <c r="CC47" s="583"/>
      <c r="CD47" s="583"/>
      <c r="CE47" s="583"/>
      <c r="CF47" s="583"/>
      <c r="CG47" s="583"/>
      <c r="CH47" s="583"/>
      <c r="CI47" s="583"/>
      <c r="CJ47" s="583"/>
      <c r="CK47" s="583"/>
      <c r="CL47" s="583"/>
      <c r="CM47" s="583"/>
      <c r="CN47" s="583"/>
      <c r="CO47" s="583"/>
      <c r="CP47" s="583"/>
      <c r="CQ47" s="583"/>
      <c r="CR47" s="583"/>
      <c r="CS47" s="583"/>
      <c r="CT47" s="583">
        <v>2</v>
      </c>
      <c r="CU47" s="583">
        <v>2</v>
      </c>
      <c r="CV47" s="583">
        <v>9</v>
      </c>
      <c r="CW47" s="583">
        <v>9</v>
      </c>
      <c r="CX47" s="583">
        <v>4</v>
      </c>
      <c r="CY47" s="583">
        <v>4</v>
      </c>
      <c r="CZ47" s="583"/>
      <c r="DA47" s="583"/>
      <c r="DB47" s="583"/>
      <c r="DC47" s="583"/>
      <c r="DD47" s="583"/>
      <c r="DE47" s="583"/>
      <c r="DF47" s="583"/>
      <c r="DG47" s="583"/>
      <c r="DH47" s="583">
        <v>17</v>
      </c>
      <c r="DI47" s="583">
        <v>17</v>
      </c>
      <c r="DJ47" s="583">
        <v>95</v>
      </c>
      <c r="DK47" s="583">
        <v>95</v>
      </c>
    </row>
    <row r="48" spans="1:115" ht="15.75" customHeight="1" x14ac:dyDescent="0.35">
      <c r="A48" s="2" t="s">
        <v>84</v>
      </c>
      <c r="B48" s="583"/>
      <c r="C48" s="583"/>
      <c r="D48" s="583"/>
      <c r="E48" s="583"/>
      <c r="F48" s="583"/>
      <c r="G48" s="583"/>
      <c r="H48" s="583"/>
      <c r="I48" s="583"/>
      <c r="J48" s="583"/>
      <c r="K48" s="583"/>
      <c r="L48" s="583"/>
      <c r="M48" s="583"/>
      <c r="N48" s="583"/>
      <c r="O48" s="583"/>
      <c r="P48" s="583"/>
      <c r="Q48" s="583"/>
      <c r="R48" s="583"/>
      <c r="S48" s="583"/>
      <c r="T48" s="583"/>
      <c r="U48" s="583"/>
      <c r="V48" s="583"/>
      <c r="W48" s="583"/>
      <c r="X48" s="583"/>
      <c r="Y48" s="583"/>
      <c r="Z48" s="583"/>
      <c r="AA48" s="583"/>
      <c r="AB48" s="583"/>
      <c r="AC48" s="583"/>
      <c r="AD48" s="583"/>
      <c r="AE48" s="583"/>
      <c r="AF48" s="583"/>
      <c r="AG48" s="583"/>
      <c r="AH48" s="583"/>
      <c r="AI48" s="583"/>
      <c r="AJ48" s="583"/>
      <c r="AK48" s="583"/>
      <c r="AL48" s="583"/>
      <c r="AM48" s="583"/>
      <c r="AN48" s="583"/>
      <c r="AO48" s="583"/>
      <c r="AP48" s="583"/>
      <c r="AQ48" s="583"/>
      <c r="AR48" s="583"/>
      <c r="AS48" s="583"/>
      <c r="AT48" s="583"/>
      <c r="AU48" s="583"/>
      <c r="AV48" s="583"/>
      <c r="AW48" s="583"/>
      <c r="AX48" s="583"/>
      <c r="AY48" s="583"/>
      <c r="AZ48" s="583">
        <v>31</v>
      </c>
      <c r="BA48" s="583">
        <v>31</v>
      </c>
      <c r="BB48" s="583">
        <v>21</v>
      </c>
      <c r="BC48" s="583">
        <v>21</v>
      </c>
      <c r="BD48" s="583"/>
      <c r="BE48" s="583"/>
      <c r="BF48" s="583"/>
      <c r="BG48" s="583"/>
      <c r="BH48" s="583"/>
      <c r="BI48" s="583"/>
      <c r="BJ48" s="583"/>
      <c r="BK48" s="583"/>
      <c r="BL48" s="583"/>
      <c r="BM48" s="583"/>
      <c r="BN48" s="583"/>
      <c r="BO48" s="583"/>
      <c r="BP48" s="583"/>
      <c r="BQ48" s="583"/>
      <c r="BR48" s="583"/>
      <c r="BS48" s="583"/>
      <c r="BT48" s="583"/>
      <c r="BU48" s="583"/>
      <c r="BV48" s="583"/>
      <c r="BW48" s="583"/>
      <c r="BX48" s="583"/>
      <c r="BY48" s="583"/>
      <c r="BZ48" s="583"/>
      <c r="CA48" s="583"/>
      <c r="CB48" s="583"/>
      <c r="CC48" s="583"/>
      <c r="CD48" s="583"/>
      <c r="CE48" s="583"/>
      <c r="CF48" s="583"/>
      <c r="CG48" s="583"/>
      <c r="CH48" s="583">
        <v>2</v>
      </c>
      <c r="CI48" s="583">
        <v>2</v>
      </c>
      <c r="CJ48" s="583">
        <v>11</v>
      </c>
      <c r="CK48" s="583">
        <v>11</v>
      </c>
      <c r="CL48" s="583">
        <v>1</v>
      </c>
      <c r="CM48" s="583">
        <v>1</v>
      </c>
      <c r="CN48" s="583">
        <v>10</v>
      </c>
      <c r="CO48" s="583">
        <v>10</v>
      </c>
      <c r="CP48" s="583"/>
      <c r="CQ48" s="583"/>
      <c r="CR48" s="583"/>
      <c r="CS48" s="583"/>
      <c r="CT48" s="583"/>
      <c r="CU48" s="583"/>
      <c r="CV48" s="583"/>
      <c r="CW48" s="583"/>
      <c r="CX48" s="583"/>
      <c r="CY48" s="583"/>
      <c r="CZ48" s="583">
        <v>30</v>
      </c>
      <c r="DA48" s="583">
        <v>30</v>
      </c>
      <c r="DB48" s="583">
        <v>12</v>
      </c>
      <c r="DC48" s="583">
        <v>12</v>
      </c>
      <c r="DD48" s="583"/>
      <c r="DE48" s="583"/>
      <c r="DF48" s="583">
        <v>18</v>
      </c>
      <c r="DG48" s="583">
        <v>18</v>
      </c>
      <c r="DH48" s="583"/>
      <c r="DI48" s="583"/>
      <c r="DJ48" s="583">
        <v>136</v>
      </c>
      <c r="DK48" s="583">
        <v>136</v>
      </c>
    </row>
    <row r="49" spans="1:115" ht="15.75" customHeight="1" x14ac:dyDescent="0.35">
      <c r="A49" s="2" t="s">
        <v>85</v>
      </c>
      <c r="B49" s="583"/>
      <c r="C49" s="583"/>
      <c r="D49" s="583"/>
      <c r="E49" s="583"/>
      <c r="F49" s="583"/>
      <c r="G49" s="583"/>
      <c r="H49" s="583"/>
      <c r="I49" s="583"/>
      <c r="J49" s="583"/>
      <c r="K49" s="583"/>
      <c r="L49" s="583"/>
      <c r="M49" s="583"/>
      <c r="N49" s="583"/>
      <c r="O49" s="583"/>
      <c r="P49" s="583"/>
      <c r="Q49" s="583"/>
      <c r="R49" s="583"/>
      <c r="S49" s="583"/>
      <c r="T49" s="583">
        <v>1</v>
      </c>
      <c r="U49" s="583">
        <v>1</v>
      </c>
      <c r="V49" s="583"/>
      <c r="W49" s="583"/>
      <c r="X49" s="583"/>
      <c r="Y49" s="583"/>
      <c r="Z49" s="583"/>
      <c r="AA49" s="583"/>
      <c r="AB49" s="583"/>
      <c r="AC49" s="583"/>
      <c r="AD49" s="583"/>
      <c r="AE49" s="583"/>
      <c r="AF49" s="583"/>
      <c r="AG49" s="583"/>
      <c r="AH49" s="583"/>
      <c r="AI49" s="583"/>
      <c r="AJ49" s="583"/>
      <c r="AK49" s="583"/>
      <c r="AL49" s="583"/>
      <c r="AM49" s="583"/>
      <c r="AN49" s="583"/>
      <c r="AO49" s="583"/>
      <c r="AP49" s="583"/>
      <c r="AQ49" s="583"/>
      <c r="AR49" s="583"/>
      <c r="AS49" s="583"/>
      <c r="AT49" s="583"/>
      <c r="AU49" s="583"/>
      <c r="AV49" s="583"/>
      <c r="AW49" s="583"/>
      <c r="AX49" s="583"/>
      <c r="AY49" s="583"/>
      <c r="AZ49" s="583"/>
      <c r="BA49" s="583"/>
      <c r="BB49" s="583"/>
      <c r="BC49" s="583"/>
      <c r="BD49" s="583"/>
      <c r="BE49" s="583"/>
      <c r="BF49" s="583"/>
      <c r="BG49" s="583"/>
      <c r="BH49" s="583"/>
      <c r="BI49" s="583"/>
      <c r="BJ49" s="583"/>
      <c r="BK49" s="583"/>
      <c r="BL49" s="583"/>
      <c r="BM49" s="583"/>
      <c r="BN49" s="583"/>
      <c r="BO49" s="583"/>
      <c r="BP49" s="583"/>
      <c r="BQ49" s="583"/>
      <c r="BR49" s="583"/>
      <c r="BS49" s="583"/>
      <c r="BT49" s="583"/>
      <c r="BU49" s="583"/>
      <c r="BV49" s="583"/>
      <c r="BW49" s="583"/>
      <c r="BX49" s="583"/>
      <c r="BY49" s="583"/>
      <c r="BZ49" s="583"/>
      <c r="CA49" s="583"/>
      <c r="CB49" s="583"/>
      <c r="CC49" s="583"/>
      <c r="CD49" s="583"/>
      <c r="CE49" s="583"/>
      <c r="CF49" s="583"/>
      <c r="CG49" s="583"/>
      <c r="CH49" s="583"/>
      <c r="CI49" s="583"/>
      <c r="CJ49" s="583"/>
      <c r="CK49" s="583"/>
      <c r="CL49" s="583"/>
      <c r="CM49" s="583"/>
      <c r="CN49" s="583"/>
      <c r="CO49" s="583"/>
      <c r="CP49" s="583"/>
      <c r="CQ49" s="583"/>
      <c r="CR49" s="583"/>
      <c r="CS49" s="583"/>
      <c r="CT49" s="583"/>
      <c r="CU49" s="583"/>
      <c r="CV49" s="583"/>
      <c r="CW49" s="583"/>
      <c r="CX49" s="583"/>
      <c r="CY49" s="583"/>
      <c r="CZ49" s="583"/>
      <c r="DA49" s="583"/>
      <c r="DB49" s="583"/>
      <c r="DC49" s="583"/>
      <c r="DD49" s="583"/>
      <c r="DE49" s="583"/>
      <c r="DF49" s="583"/>
      <c r="DG49" s="583"/>
      <c r="DH49" s="583"/>
      <c r="DI49" s="583"/>
      <c r="DJ49" s="583">
        <v>1</v>
      </c>
      <c r="DK49" s="583">
        <v>1</v>
      </c>
    </row>
    <row r="50" spans="1:115" ht="15.75" customHeight="1" x14ac:dyDescent="0.35">
      <c r="A50" s="2" t="s">
        <v>56</v>
      </c>
      <c r="B50" s="583">
        <v>9</v>
      </c>
      <c r="C50" s="583">
        <v>9</v>
      </c>
      <c r="D50" s="583">
        <v>9</v>
      </c>
      <c r="E50" s="583">
        <v>9</v>
      </c>
      <c r="F50" s="583">
        <v>3</v>
      </c>
      <c r="G50" s="583">
        <v>3</v>
      </c>
      <c r="H50" s="583">
        <v>12</v>
      </c>
      <c r="I50" s="583">
        <v>12</v>
      </c>
      <c r="J50" s="583">
        <v>9</v>
      </c>
      <c r="K50" s="583">
        <v>9</v>
      </c>
      <c r="L50" s="583">
        <v>6</v>
      </c>
      <c r="M50" s="583">
        <v>6</v>
      </c>
      <c r="N50" s="583">
        <v>6</v>
      </c>
      <c r="O50" s="583">
        <v>6</v>
      </c>
      <c r="P50" s="583">
        <v>4</v>
      </c>
      <c r="Q50" s="583">
        <v>4</v>
      </c>
      <c r="R50" s="583">
        <v>4</v>
      </c>
      <c r="S50" s="583">
        <v>4</v>
      </c>
      <c r="T50" s="583">
        <v>5</v>
      </c>
      <c r="U50" s="583">
        <v>5</v>
      </c>
      <c r="V50" s="583">
        <v>4</v>
      </c>
      <c r="W50" s="583">
        <v>4</v>
      </c>
      <c r="X50" s="583">
        <v>3</v>
      </c>
      <c r="Y50" s="583">
        <v>3</v>
      </c>
      <c r="Z50" s="583">
        <v>7</v>
      </c>
      <c r="AA50" s="583">
        <v>7</v>
      </c>
      <c r="AB50" s="583">
        <v>5</v>
      </c>
      <c r="AC50" s="583">
        <v>5</v>
      </c>
      <c r="AD50" s="583">
        <v>7</v>
      </c>
      <c r="AE50" s="583">
        <v>7</v>
      </c>
      <c r="AF50" s="583">
        <v>4</v>
      </c>
      <c r="AG50" s="583">
        <v>4</v>
      </c>
      <c r="AH50" s="583">
        <v>7</v>
      </c>
      <c r="AI50" s="583">
        <v>7</v>
      </c>
      <c r="AJ50" s="583">
        <v>4</v>
      </c>
      <c r="AK50" s="583">
        <v>4</v>
      </c>
      <c r="AL50" s="583">
        <v>3</v>
      </c>
      <c r="AM50" s="583">
        <v>3</v>
      </c>
      <c r="AN50" s="583">
        <v>12</v>
      </c>
      <c r="AO50" s="583">
        <v>12</v>
      </c>
      <c r="AP50" s="583">
        <v>5</v>
      </c>
      <c r="AQ50" s="583">
        <v>5</v>
      </c>
      <c r="AR50" s="583">
        <v>6</v>
      </c>
      <c r="AS50" s="583">
        <v>6</v>
      </c>
      <c r="AT50" s="583">
        <v>4</v>
      </c>
      <c r="AU50" s="583">
        <v>4</v>
      </c>
      <c r="AV50" s="583">
        <v>8</v>
      </c>
      <c r="AW50" s="583">
        <v>8</v>
      </c>
      <c r="AX50" s="583">
        <v>8</v>
      </c>
      <c r="AY50" s="583">
        <v>8</v>
      </c>
      <c r="AZ50" s="583">
        <v>44</v>
      </c>
      <c r="BA50" s="583">
        <v>44</v>
      </c>
      <c r="BB50" s="583">
        <v>43</v>
      </c>
      <c r="BC50" s="583">
        <v>43</v>
      </c>
      <c r="BD50" s="583">
        <v>6</v>
      </c>
      <c r="BE50" s="583">
        <v>6</v>
      </c>
      <c r="BF50" s="583">
        <v>11</v>
      </c>
      <c r="BG50" s="583">
        <v>11</v>
      </c>
      <c r="BH50" s="583">
        <v>2</v>
      </c>
      <c r="BI50" s="583">
        <v>2</v>
      </c>
      <c r="BJ50" s="583">
        <v>1</v>
      </c>
      <c r="BK50" s="583">
        <v>1</v>
      </c>
      <c r="BL50" s="583">
        <v>9</v>
      </c>
      <c r="BM50" s="583">
        <v>9</v>
      </c>
      <c r="BN50" s="583">
        <v>7</v>
      </c>
      <c r="BO50" s="583">
        <v>7</v>
      </c>
      <c r="BP50" s="583">
        <v>18</v>
      </c>
      <c r="BQ50" s="583">
        <v>18</v>
      </c>
      <c r="BR50" s="583">
        <v>5</v>
      </c>
      <c r="BS50" s="583">
        <v>5</v>
      </c>
      <c r="BT50" s="583">
        <v>15</v>
      </c>
      <c r="BU50" s="583">
        <v>15</v>
      </c>
      <c r="BV50" s="583">
        <v>8</v>
      </c>
      <c r="BW50" s="583">
        <v>8</v>
      </c>
      <c r="BX50" s="583">
        <v>8</v>
      </c>
      <c r="BY50" s="583">
        <v>8</v>
      </c>
      <c r="BZ50" s="583">
        <v>4</v>
      </c>
      <c r="CA50" s="583">
        <v>4</v>
      </c>
      <c r="CB50" s="583">
        <v>14</v>
      </c>
      <c r="CC50" s="583">
        <v>14</v>
      </c>
      <c r="CD50" s="583">
        <v>8</v>
      </c>
      <c r="CE50" s="583">
        <v>8</v>
      </c>
      <c r="CF50" s="583">
        <v>7</v>
      </c>
      <c r="CG50" s="583">
        <v>7</v>
      </c>
      <c r="CH50" s="583">
        <v>2</v>
      </c>
      <c r="CI50" s="583">
        <v>2</v>
      </c>
      <c r="CJ50" s="583">
        <v>14</v>
      </c>
      <c r="CK50" s="583">
        <v>14</v>
      </c>
      <c r="CL50" s="583">
        <v>5</v>
      </c>
      <c r="CM50" s="583">
        <v>5</v>
      </c>
      <c r="CN50" s="583">
        <v>10</v>
      </c>
      <c r="CO50" s="583">
        <v>10</v>
      </c>
      <c r="CP50" s="583">
        <v>7</v>
      </c>
      <c r="CQ50" s="583">
        <v>7</v>
      </c>
      <c r="CR50" s="583">
        <v>5</v>
      </c>
      <c r="CS50" s="583">
        <v>5</v>
      </c>
      <c r="CT50" s="583">
        <v>7</v>
      </c>
      <c r="CU50" s="583">
        <v>7</v>
      </c>
      <c r="CV50" s="583">
        <v>14</v>
      </c>
      <c r="CW50" s="583">
        <v>14</v>
      </c>
      <c r="CX50" s="583">
        <v>4</v>
      </c>
      <c r="CY50" s="583">
        <v>4</v>
      </c>
      <c r="CZ50" s="583">
        <v>38</v>
      </c>
      <c r="DA50" s="583">
        <v>38</v>
      </c>
      <c r="DB50" s="583">
        <v>13</v>
      </c>
      <c r="DC50" s="583">
        <v>13</v>
      </c>
      <c r="DD50" s="583">
        <v>3</v>
      </c>
      <c r="DE50" s="583">
        <v>3</v>
      </c>
      <c r="DF50" s="583">
        <v>23</v>
      </c>
      <c r="DG50" s="583">
        <v>23</v>
      </c>
      <c r="DH50" s="583">
        <v>17</v>
      </c>
      <c r="DI50" s="583">
        <v>17</v>
      </c>
      <c r="DJ50" s="583">
        <v>526</v>
      </c>
      <c r="DK50" s="583">
        <v>526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78" bestFit="1" customWidth="1"/>
    <col min="2" max="2" width="10.5" style="278" bestFit="1" customWidth="1"/>
    <col min="3" max="3" width="10" style="278" bestFit="1" customWidth="1"/>
    <col min="4" max="4" width="9.5" style="278" bestFit="1" customWidth="1"/>
    <col min="5" max="5" width="9.8984375" style="278" bestFit="1" customWidth="1"/>
    <col min="6" max="6" width="9.69921875" style="278" bestFit="1" customWidth="1"/>
    <col min="7" max="7" width="10" style="278" bestFit="1" customWidth="1"/>
    <col min="8" max="8" width="9.69921875" style="278" bestFit="1" customWidth="1"/>
    <col min="9" max="10" width="10" style="278" bestFit="1" customWidth="1"/>
    <col min="11" max="11" width="10.09765625" style="278" bestFit="1" customWidth="1"/>
    <col min="12" max="12" width="9.09765625" style="278" bestFit="1" customWidth="1"/>
    <col min="13" max="13" width="10.19921875" style="278" bestFit="1" customWidth="1"/>
    <col min="14" max="14" width="11" style="278" bestFit="1" customWidth="1"/>
    <col min="15" max="15" width="10.69921875" style="278" bestFit="1" customWidth="1"/>
    <col min="16" max="16" width="10" style="278" bestFit="1" customWidth="1"/>
    <col min="17" max="17" width="9.5" style="278" bestFit="1" customWidth="1"/>
    <col min="18" max="18" width="5.69921875" style="278" bestFit="1" customWidth="1"/>
    <col min="19" max="20" width="8.69921875" style="278" customWidth="1"/>
    <col min="21" max="16384" width="8.69921875" style="278"/>
  </cols>
  <sheetData>
    <row r="3" spans="1:18" x14ac:dyDescent="0.35">
      <c r="A3" s="582" t="s">
        <v>2326</v>
      </c>
      <c r="B3" s="582" t="s">
        <v>75</v>
      </c>
    </row>
    <row r="4" spans="1:18" x14ac:dyDescent="0.35">
      <c r="A4" s="582" t="s">
        <v>2327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78" t="s">
        <v>56</v>
      </c>
    </row>
    <row r="5" spans="1:18" x14ac:dyDescent="0.35">
      <c r="A5" s="2" t="s">
        <v>120</v>
      </c>
      <c r="B5" s="583"/>
      <c r="C5" s="583"/>
      <c r="D5" s="583"/>
      <c r="E5" s="583">
        <v>1</v>
      </c>
      <c r="F5" s="583"/>
      <c r="G5" s="583"/>
      <c r="H5" s="583"/>
      <c r="I5" s="583"/>
      <c r="J5" s="583"/>
      <c r="K5" s="583"/>
      <c r="L5" s="583"/>
      <c r="M5" s="583">
        <v>1</v>
      </c>
      <c r="N5" s="583"/>
      <c r="O5" s="583"/>
      <c r="P5" s="583"/>
      <c r="Q5" s="583"/>
      <c r="R5" s="583">
        <v>2</v>
      </c>
    </row>
    <row r="6" spans="1:18" x14ac:dyDescent="0.35">
      <c r="A6" s="2" t="s">
        <v>126</v>
      </c>
      <c r="B6" s="583"/>
      <c r="C6" s="583"/>
      <c r="D6" s="583"/>
      <c r="E6" s="583">
        <v>13</v>
      </c>
      <c r="F6" s="583"/>
      <c r="G6" s="583">
        <v>4</v>
      </c>
      <c r="H6" s="583"/>
      <c r="I6" s="583"/>
      <c r="J6" s="583"/>
      <c r="K6" s="583"/>
      <c r="L6" s="583"/>
      <c r="M6" s="583"/>
      <c r="N6" s="583"/>
      <c r="O6" s="583"/>
      <c r="P6" s="583"/>
      <c r="Q6" s="583"/>
      <c r="R6" s="583">
        <v>17</v>
      </c>
    </row>
    <row r="7" spans="1:18" x14ac:dyDescent="0.35">
      <c r="A7" s="2" t="s">
        <v>133</v>
      </c>
      <c r="B7" s="583"/>
      <c r="C7" s="583"/>
      <c r="D7" s="583"/>
      <c r="E7" s="583">
        <v>10</v>
      </c>
      <c r="F7" s="583"/>
      <c r="G7" s="583"/>
      <c r="H7" s="583"/>
      <c r="I7" s="583"/>
      <c r="J7" s="583"/>
      <c r="K7" s="583"/>
      <c r="L7" s="583"/>
      <c r="M7" s="583"/>
      <c r="N7" s="583"/>
      <c r="O7" s="583"/>
      <c r="P7" s="583"/>
      <c r="Q7" s="583"/>
      <c r="R7" s="583">
        <v>10</v>
      </c>
    </row>
    <row r="8" spans="1:18" x14ac:dyDescent="0.35">
      <c r="A8" s="2" t="s">
        <v>150</v>
      </c>
      <c r="B8" s="583"/>
      <c r="C8" s="583"/>
      <c r="D8" s="583"/>
      <c r="E8" s="583">
        <v>2</v>
      </c>
      <c r="F8" s="583"/>
      <c r="G8" s="583"/>
      <c r="H8" s="583"/>
      <c r="I8" s="583"/>
      <c r="J8" s="583"/>
      <c r="K8" s="583"/>
      <c r="L8" s="583"/>
      <c r="M8" s="583"/>
      <c r="N8" s="583"/>
      <c r="O8" s="583"/>
      <c r="P8" s="583"/>
      <c r="Q8" s="583"/>
      <c r="R8" s="583">
        <v>2</v>
      </c>
    </row>
    <row r="9" spans="1:18" x14ac:dyDescent="0.35">
      <c r="A9" s="2" t="s">
        <v>161</v>
      </c>
      <c r="B9" s="583"/>
      <c r="C9" s="583"/>
      <c r="D9" s="583"/>
      <c r="E9" s="583"/>
      <c r="F9" s="583">
        <v>2</v>
      </c>
      <c r="G9" s="583"/>
      <c r="H9" s="583"/>
      <c r="I9" s="583"/>
      <c r="J9" s="583"/>
      <c r="K9" s="583"/>
      <c r="L9" s="583"/>
      <c r="M9" s="583"/>
      <c r="N9" s="583"/>
      <c r="O9" s="583"/>
      <c r="P9" s="583"/>
      <c r="Q9" s="583"/>
      <c r="R9" s="583">
        <v>2</v>
      </c>
    </row>
    <row r="10" spans="1:18" x14ac:dyDescent="0.35">
      <c r="A10" s="2" t="s">
        <v>156</v>
      </c>
      <c r="B10" s="583"/>
      <c r="C10" s="583"/>
      <c r="D10" s="583"/>
      <c r="E10" s="583"/>
      <c r="F10" s="583">
        <v>2</v>
      </c>
      <c r="G10" s="583"/>
      <c r="H10" s="583"/>
      <c r="I10" s="583"/>
      <c r="J10" s="583"/>
      <c r="K10" s="583"/>
      <c r="L10" s="583"/>
      <c r="M10" s="583"/>
      <c r="N10" s="583"/>
      <c r="O10" s="583"/>
      <c r="P10" s="583"/>
      <c r="Q10" s="583"/>
      <c r="R10" s="583">
        <v>2</v>
      </c>
    </row>
    <row r="11" spans="1:18" x14ac:dyDescent="0.35">
      <c r="A11" s="2" t="s">
        <v>152</v>
      </c>
      <c r="B11" s="583"/>
      <c r="C11" s="583"/>
      <c r="D11" s="583"/>
      <c r="E11" s="583"/>
      <c r="F11" s="583">
        <v>2</v>
      </c>
      <c r="G11" s="583"/>
      <c r="H11" s="583"/>
      <c r="I11" s="583"/>
      <c r="J11" s="583"/>
      <c r="K11" s="583"/>
      <c r="L11" s="583"/>
      <c r="M11" s="583"/>
      <c r="N11" s="583"/>
      <c r="O11" s="583"/>
      <c r="P11" s="583"/>
      <c r="Q11" s="583"/>
      <c r="R11" s="583">
        <v>2</v>
      </c>
    </row>
    <row r="12" spans="1:18" x14ac:dyDescent="0.35">
      <c r="A12" s="2" t="s">
        <v>270</v>
      </c>
      <c r="B12" s="583"/>
      <c r="C12" s="583"/>
      <c r="D12" s="583"/>
      <c r="E12" s="583">
        <v>1</v>
      </c>
      <c r="F12" s="583"/>
      <c r="G12" s="583"/>
      <c r="H12" s="583"/>
      <c r="I12" s="583"/>
      <c r="J12" s="583"/>
      <c r="K12" s="583"/>
      <c r="L12" s="583"/>
      <c r="M12" s="583"/>
      <c r="N12" s="583"/>
      <c r="O12" s="583">
        <v>1</v>
      </c>
      <c r="P12" s="583"/>
      <c r="Q12" s="583"/>
      <c r="R12" s="583">
        <v>2</v>
      </c>
    </row>
    <row r="13" spans="1:18" x14ac:dyDescent="0.35">
      <c r="A13" s="2" t="s">
        <v>312</v>
      </c>
      <c r="B13" s="583"/>
      <c r="C13" s="583"/>
      <c r="D13" s="583">
        <v>1</v>
      </c>
      <c r="E13" s="583"/>
      <c r="F13" s="583"/>
      <c r="G13" s="583"/>
      <c r="H13" s="583">
        <v>1</v>
      </c>
      <c r="I13" s="583"/>
      <c r="J13" s="583"/>
      <c r="K13" s="583">
        <v>4</v>
      </c>
      <c r="L13" s="583"/>
      <c r="M13" s="583"/>
      <c r="N13" s="583"/>
      <c r="O13" s="583"/>
      <c r="P13" s="583"/>
      <c r="Q13" s="583"/>
      <c r="R13" s="583">
        <v>6</v>
      </c>
    </row>
    <row r="14" spans="1:18" x14ac:dyDescent="0.35">
      <c r="A14" s="2" t="s">
        <v>1005</v>
      </c>
      <c r="B14" s="583">
        <v>1</v>
      </c>
      <c r="C14" s="583"/>
      <c r="D14" s="583"/>
      <c r="E14" s="583"/>
      <c r="F14" s="583"/>
      <c r="G14" s="583"/>
      <c r="H14" s="583"/>
      <c r="I14" s="583"/>
      <c r="J14" s="583"/>
      <c r="K14" s="583"/>
      <c r="L14" s="583"/>
      <c r="M14" s="583"/>
      <c r="N14" s="583"/>
      <c r="O14" s="583"/>
      <c r="P14" s="583"/>
      <c r="Q14" s="583"/>
      <c r="R14" s="583">
        <v>1</v>
      </c>
    </row>
    <row r="15" spans="1:18" x14ac:dyDescent="0.35">
      <c r="A15" s="2" t="s">
        <v>1017</v>
      </c>
      <c r="B15" s="583"/>
      <c r="C15" s="583">
        <v>3</v>
      </c>
      <c r="D15" s="583"/>
      <c r="E15" s="583"/>
      <c r="F15" s="583"/>
      <c r="G15" s="583"/>
      <c r="H15" s="583"/>
      <c r="I15" s="583"/>
      <c r="J15" s="583"/>
      <c r="K15" s="583"/>
      <c r="L15" s="583"/>
      <c r="M15" s="583"/>
      <c r="N15" s="583"/>
      <c r="O15" s="583"/>
      <c r="P15" s="583"/>
      <c r="Q15" s="583"/>
      <c r="R15" s="583">
        <v>3</v>
      </c>
    </row>
    <row r="16" spans="1:18" x14ac:dyDescent="0.35">
      <c r="A16" s="2" t="s">
        <v>1009</v>
      </c>
      <c r="B16" s="583"/>
      <c r="C16" s="583">
        <v>2</v>
      </c>
      <c r="D16" s="583"/>
      <c r="E16" s="583"/>
      <c r="F16" s="583"/>
      <c r="G16" s="583"/>
      <c r="H16" s="583"/>
      <c r="I16" s="583"/>
      <c r="J16" s="583"/>
      <c r="K16" s="583"/>
      <c r="L16" s="583"/>
      <c r="M16" s="583"/>
      <c r="N16" s="583"/>
      <c r="O16" s="583"/>
      <c r="P16" s="583"/>
      <c r="Q16" s="583"/>
      <c r="R16" s="583">
        <v>2</v>
      </c>
    </row>
    <row r="17" spans="1:18" x14ac:dyDescent="0.35">
      <c r="A17" s="2" t="s">
        <v>1007</v>
      </c>
      <c r="B17" s="583">
        <v>4</v>
      </c>
      <c r="C17" s="583"/>
      <c r="D17" s="583"/>
      <c r="E17" s="583"/>
      <c r="F17" s="583"/>
      <c r="G17" s="583"/>
      <c r="H17" s="583"/>
      <c r="I17" s="583"/>
      <c r="J17" s="583"/>
      <c r="K17" s="583"/>
      <c r="L17" s="583"/>
      <c r="M17" s="583"/>
      <c r="N17" s="583"/>
      <c r="O17" s="583"/>
      <c r="P17" s="583"/>
      <c r="Q17" s="583"/>
      <c r="R17" s="583">
        <v>4</v>
      </c>
    </row>
    <row r="18" spans="1:18" x14ac:dyDescent="0.35">
      <c r="A18" s="2" t="s">
        <v>1003</v>
      </c>
      <c r="B18" s="583">
        <v>2</v>
      </c>
      <c r="C18" s="583"/>
      <c r="D18" s="583"/>
      <c r="E18" s="583"/>
      <c r="F18" s="583"/>
      <c r="G18" s="583"/>
      <c r="H18" s="583"/>
      <c r="I18" s="583"/>
      <c r="J18" s="583"/>
      <c r="K18" s="583"/>
      <c r="L18" s="583"/>
      <c r="M18" s="583"/>
      <c r="N18" s="583"/>
      <c r="O18" s="583"/>
      <c r="P18" s="583"/>
      <c r="Q18" s="583"/>
      <c r="R18" s="583">
        <v>2</v>
      </c>
    </row>
    <row r="19" spans="1:18" x14ac:dyDescent="0.35">
      <c r="A19" s="2" t="s">
        <v>1015</v>
      </c>
      <c r="B19" s="583">
        <v>4</v>
      </c>
      <c r="C19" s="583"/>
      <c r="D19" s="583"/>
      <c r="E19" s="583"/>
      <c r="F19" s="583"/>
      <c r="G19" s="583"/>
      <c r="H19" s="583"/>
      <c r="I19" s="583"/>
      <c r="J19" s="583"/>
      <c r="K19" s="583"/>
      <c r="L19" s="583"/>
      <c r="M19" s="583"/>
      <c r="N19" s="583"/>
      <c r="O19" s="583"/>
      <c r="P19" s="583"/>
      <c r="Q19" s="583"/>
      <c r="R19" s="583">
        <v>4</v>
      </c>
    </row>
    <row r="20" spans="1:18" x14ac:dyDescent="0.35">
      <c r="A20" s="2" t="s">
        <v>1011</v>
      </c>
      <c r="B20" s="583"/>
      <c r="C20" s="583">
        <v>1</v>
      </c>
      <c r="D20" s="583"/>
      <c r="E20" s="583"/>
      <c r="F20" s="583"/>
      <c r="G20" s="583"/>
      <c r="H20" s="583"/>
      <c r="I20" s="583"/>
      <c r="J20" s="583"/>
      <c r="K20" s="583"/>
      <c r="L20" s="583"/>
      <c r="M20" s="583"/>
      <c r="N20" s="583"/>
      <c r="O20" s="583"/>
      <c r="P20" s="583"/>
      <c r="Q20" s="583"/>
      <c r="R20" s="583">
        <v>1</v>
      </c>
    </row>
    <row r="21" spans="1:18" x14ac:dyDescent="0.35">
      <c r="A21" s="2" t="s">
        <v>1021</v>
      </c>
      <c r="B21" s="583"/>
      <c r="C21" s="583">
        <v>1</v>
      </c>
      <c r="D21" s="583"/>
      <c r="E21" s="583"/>
      <c r="F21" s="583"/>
      <c r="G21" s="583"/>
      <c r="H21" s="583"/>
      <c r="I21" s="583"/>
      <c r="J21" s="583"/>
      <c r="K21" s="583"/>
      <c r="L21" s="583"/>
      <c r="M21" s="583"/>
      <c r="N21" s="583"/>
      <c r="O21" s="583"/>
      <c r="P21" s="583"/>
      <c r="Q21" s="583"/>
      <c r="R21" s="583">
        <v>1</v>
      </c>
    </row>
    <row r="22" spans="1:18" x14ac:dyDescent="0.35">
      <c r="A22" s="2" t="s">
        <v>1066</v>
      </c>
      <c r="B22" s="583"/>
      <c r="C22" s="583"/>
      <c r="D22" s="583">
        <v>2</v>
      </c>
      <c r="E22" s="583"/>
      <c r="F22" s="583"/>
      <c r="G22" s="583"/>
      <c r="H22" s="583"/>
      <c r="I22" s="583"/>
      <c r="J22" s="583"/>
      <c r="K22" s="583"/>
      <c r="L22" s="583"/>
      <c r="M22" s="583"/>
      <c r="N22" s="583"/>
      <c r="O22" s="583"/>
      <c r="P22" s="583"/>
      <c r="Q22" s="583"/>
      <c r="R22" s="583">
        <v>2</v>
      </c>
    </row>
    <row r="23" spans="1:18" x14ac:dyDescent="0.35">
      <c r="A23" s="2" t="s">
        <v>1430</v>
      </c>
      <c r="B23" s="583"/>
      <c r="C23" s="583"/>
      <c r="D23" s="583">
        <v>2</v>
      </c>
      <c r="E23" s="583"/>
      <c r="F23" s="583"/>
      <c r="G23" s="583"/>
      <c r="H23" s="583"/>
      <c r="I23" s="583"/>
      <c r="J23" s="583"/>
      <c r="K23" s="583"/>
      <c r="L23" s="583"/>
      <c r="M23" s="583"/>
      <c r="N23" s="583"/>
      <c r="O23" s="583"/>
      <c r="P23" s="583">
        <v>1</v>
      </c>
      <c r="Q23" s="583"/>
      <c r="R23" s="583">
        <v>3</v>
      </c>
    </row>
    <row r="24" spans="1:18" x14ac:dyDescent="0.35">
      <c r="A24" s="2" t="s">
        <v>1433</v>
      </c>
      <c r="B24" s="583"/>
      <c r="C24" s="583"/>
      <c r="D24" s="583">
        <v>2</v>
      </c>
      <c r="E24" s="583"/>
      <c r="F24" s="583"/>
      <c r="G24" s="583"/>
      <c r="H24" s="583"/>
      <c r="I24" s="583"/>
      <c r="J24" s="583"/>
      <c r="K24" s="583"/>
      <c r="L24" s="583"/>
      <c r="M24" s="583"/>
      <c r="N24" s="583"/>
      <c r="O24" s="583"/>
      <c r="P24" s="583">
        <v>1</v>
      </c>
      <c r="Q24" s="583"/>
      <c r="R24" s="583">
        <v>3</v>
      </c>
    </row>
    <row r="25" spans="1:18" x14ac:dyDescent="0.35">
      <c r="A25" s="2" t="s">
        <v>995</v>
      </c>
      <c r="B25" s="583">
        <v>3</v>
      </c>
      <c r="C25" s="583"/>
      <c r="D25" s="583"/>
      <c r="E25" s="583"/>
      <c r="F25" s="583"/>
      <c r="G25" s="583"/>
      <c r="H25" s="583"/>
      <c r="I25" s="583"/>
      <c r="J25" s="583"/>
      <c r="K25" s="583"/>
      <c r="L25" s="583"/>
      <c r="M25" s="583"/>
      <c r="N25" s="583"/>
      <c r="O25" s="583"/>
      <c r="P25" s="583"/>
      <c r="Q25" s="583"/>
      <c r="R25" s="583">
        <v>3</v>
      </c>
    </row>
    <row r="26" spans="1:18" x14ac:dyDescent="0.35">
      <c r="A26" s="2" t="s">
        <v>1039</v>
      </c>
      <c r="B26" s="583"/>
      <c r="C26" s="583">
        <v>3</v>
      </c>
      <c r="D26" s="583"/>
      <c r="E26" s="583"/>
      <c r="F26" s="583"/>
      <c r="G26" s="583"/>
      <c r="H26" s="583"/>
      <c r="I26" s="583"/>
      <c r="J26" s="583"/>
      <c r="K26" s="583"/>
      <c r="L26" s="583"/>
      <c r="M26" s="583"/>
      <c r="N26" s="583"/>
      <c r="O26" s="583"/>
      <c r="P26" s="583"/>
      <c r="Q26" s="583"/>
      <c r="R26" s="583">
        <v>3</v>
      </c>
    </row>
    <row r="27" spans="1:18" x14ac:dyDescent="0.35">
      <c r="A27" s="2" t="s">
        <v>1033</v>
      </c>
      <c r="B27" s="583"/>
      <c r="C27" s="583">
        <v>3</v>
      </c>
      <c r="D27" s="583"/>
      <c r="E27" s="583"/>
      <c r="F27" s="583"/>
      <c r="G27" s="583"/>
      <c r="H27" s="583"/>
      <c r="I27" s="583"/>
      <c r="J27" s="583"/>
      <c r="K27" s="583"/>
      <c r="L27" s="583"/>
      <c r="M27" s="583"/>
      <c r="N27" s="583"/>
      <c r="O27" s="583"/>
      <c r="P27" s="583"/>
      <c r="Q27" s="583"/>
      <c r="R27" s="583">
        <v>3</v>
      </c>
    </row>
    <row r="28" spans="1:18" x14ac:dyDescent="0.35">
      <c r="A28" s="2" t="s">
        <v>1000</v>
      </c>
      <c r="B28" s="583">
        <v>1</v>
      </c>
      <c r="C28" s="583"/>
      <c r="D28" s="583"/>
      <c r="E28" s="583"/>
      <c r="F28" s="583"/>
      <c r="G28" s="583"/>
      <c r="H28" s="583"/>
      <c r="I28" s="583"/>
      <c r="J28" s="583"/>
      <c r="K28" s="583"/>
      <c r="L28" s="583"/>
      <c r="M28" s="583"/>
      <c r="N28" s="583"/>
      <c r="O28" s="583"/>
      <c r="P28" s="583"/>
      <c r="Q28" s="583"/>
      <c r="R28" s="583">
        <v>1</v>
      </c>
    </row>
    <row r="29" spans="1:18" x14ac:dyDescent="0.35">
      <c r="A29" s="2" t="s">
        <v>1027</v>
      </c>
      <c r="B29" s="583"/>
      <c r="C29" s="583"/>
      <c r="D29" s="583">
        <v>4</v>
      </c>
      <c r="E29" s="583"/>
      <c r="F29" s="583"/>
      <c r="G29" s="583"/>
      <c r="H29" s="583"/>
      <c r="I29" s="583"/>
      <c r="J29" s="583"/>
      <c r="K29" s="583"/>
      <c r="L29" s="583"/>
      <c r="M29" s="583"/>
      <c r="N29" s="583"/>
      <c r="O29" s="583"/>
      <c r="P29" s="583"/>
      <c r="Q29" s="583"/>
      <c r="R29" s="583">
        <v>4</v>
      </c>
    </row>
    <row r="30" spans="1:18" x14ac:dyDescent="0.35">
      <c r="A30" s="2" t="s">
        <v>1029</v>
      </c>
      <c r="B30" s="583"/>
      <c r="C30" s="583"/>
      <c r="D30" s="583">
        <v>1</v>
      </c>
      <c r="E30" s="583"/>
      <c r="F30" s="583"/>
      <c r="G30" s="583"/>
      <c r="H30" s="583"/>
      <c r="I30" s="583"/>
      <c r="J30" s="583"/>
      <c r="K30" s="583"/>
      <c r="L30" s="583"/>
      <c r="M30" s="583"/>
      <c r="N30" s="583"/>
      <c r="O30" s="583"/>
      <c r="P30" s="583"/>
      <c r="Q30" s="583"/>
      <c r="R30" s="583">
        <v>1</v>
      </c>
    </row>
    <row r="31" spans="1:18" x14ac:dyDescent="0.35">
      <c r="A31" s="2" t="s">
        <v>1037</v>
      </c>
      <c r="B31" s="583"/>
      <c r="C31" s="583">
        <v>3</v>
      </c>
      <c r="D31" s="583"/>
      <c r="E31" s="583"/>
      <c r="F31" s="583"/>
      <c r="G31" s="583"/>
      <c r="H31" s="583"/>
      <c r="I31" s="583"/>
      <c r="J31" s="583"/>
      <c r="K31" s="583"/>
      <c r="L31" s="583"/>
      <c r="M31" s="583"/>
      <c r="N31" s="583"/>
      <c r="O31" s="583"/>
      <c r="P31" s="583"/>
      <c r="Q31" s="583"/>
      <c r="R31" s="583">
        <v>3</v>
      </c>
    </row>
    <row r="32" spans="1:18" x14ac:dyDescent="0.35">
      <c r="A32" s="2" t="s">
        <v>1527</v>
      </c>
      <c r="B32" s="583"/>
      <c r="C32" s="583"/>
      <c r="D32" s="583">
        <v>1</v>
      </c>
      <c r="E32" s="583"/>
      <c r="F32" s="583"/>
      <c r="G32" s="583"/>
      <c r="H32" s="583"/>
      <c r="I32" s="583"/>
      <c r="J32" s="583"/>
      <c r="K32" s="583"/>
      <c r="L32" s="583"/>
      <c r="M32" s="583"/>
      <c r="N32" s="583"/>
      <c r="O32" s="583"/>
      <c r="P32" s="583">
        <v>3</v>
      </c>
      <c r="Q32" s="583"/>
      <c r="R32" s="583">
        <v>4</v>
      </c>
    </row>
    <row r="33" spans="1:18" x14ac:dyDescent="0.35">
      <c r="A33" s="2" t="s">
        <v>1531</v>
      </c>
      <c r="B33" s="583"/>
      <c r="C33" s="583"/>
      <c r="D33" s="583">
        <v>1</v>
      </c>
      <c r="E33" s="583"/>
      <c r="F33" s="583"/>
      <c r="G33" s="583"/>
      <c r="H33" s="583"/>
      <c r="I33" s="583"/>
      <c r="J33" s="583"/>
      <c r="K33" s="583"/>
      <c r="L33" s="583"/>
      <c r="M33" s="583"/>
      <c r="N33" s="583"/>
      <c r="O33" s="583"/>
      <c r="P33" s="583">
        <v>2</v>
      </c>
      <c r="Q33" s="583"/>
      <c r="R33" s="583">
        <v>3</v>
      </c>
    </row>
    <row r="34" spans="1:18" x14ac:dyDescent="0.35">
      <c r="A34" s="2" t="s">
        <v>130</v>
      </c>
      <c r="B34" s="583"/>
      <c r="C34" s="583"/>
      <c r="D34" s="583"/>
      <c r="E34" s="583"/>
      <c r="F34" s="583"/>
      <c r="G34" s="583">
        <v>11</v>
      </c>
      <c r="H34" s="583"/>
      <c r="I34" s="583"/>
      <c r="J34" s="583"/>
      <c r="K34" s="583"/>
      <c r="L34" s="583"/>
      <c r="M34" s="583"/>
      <c r="N34" s="583"/>
      <c r="O34" s="583"/>
      <c r="P34" s="583"/>
      <c r="Q34" s="583"/>
      <c r="R34" s="583">
        <v>11</v>
      </c>
    </row>
    <row r="35" spans="1:18" x14ac:dyDescent="0.35">
      <c r="A35" s="2" t="s">
        <v>137</v>
      </c>
      <c r="B35" s="583"/>
      <c r="C35" s="583"/>
      <c r="D35" s="583"/>
      <c r="E35" s="583"/>
      <c r="F35" s="583"/>
      <c r="G35" s="583">
        <v>7</v>
      </c>
      <c r="H35" s="583"/>
      <c r="I35" s="583"/>
      <c r="J35" s="583"/>
      <c r="K35" s="583"/>
      <c r="L35" s="583"/>
      <c r="M35" s="583"/>
      <c r="N35" s="583"/>
      <c r="O35" s="583"/>
      <c r="P35" s="583"/>
      <c r="Q35" s="583"/>
      <c r="R35" s="583">
        <v>7</v>
      </c>
    </row>
    <row r="36" spans="1:18" x14ac:dyDescent="0.35">
      <c r="A36" s="2" t="s">
        <v>1404</v>
      </c>
      <c r="B36" s="583"/>
      <c r="C36" s="583"/>
      <c r="D36" s="583"/>
      <c r="E36" s="583"/>
      <c r="F36" s="583"/>
      <c r="G36" s="583">
        <v>3</v>
      </c>
      <c r="H36" s="583"/>
      <c r="I36" s="583"/>
      <c r="J36" s="583"/>
      <c r="K36" s="583"/>
      <c r="L36" s="583"/>
      <c r="M36" s="583"/>
      <c r="N36" s="583"/>
      <c r="O36" s="583"/>
      <c r="P36" s="583"/>
      <c r="Q36" s="583"/>
      <c r="R36" s="583">
        <v>3</v>
      </c>
    </row>
    <row r="37" spans="1:18" x14ac:dyDescent="0.35">
      <c r="A37" s="2" t="s">
        <v>1583</v>
      </c>
      <c r="B37" s="583"/>
      <c r="C37" s="583"/>
      <c r="D37" s="583"/>
      <c r="E37" s="583"/>
      <c r="F37" s="583"/>
      <c r="G37" s="583">
        <v>5</v>
      </c>
      <c r="H37" s="583"/>
      <c r="I37" s="583"/>
      <c r="J37" s="583"/>
      <c r="K37" s="583"/>
      <c r="L37" s="583"/>
      <c r="M37" s="583"/>
      <c r="N37" s="583"/>
      <c r="O37" s="583"/>
      <c r="P37" s="583"/>
      <c r="Q37" s="583"/>
      <c r="R37" s="583">
        <v>5</v>
      </c>
    </row>
    <row r="38" spans="1:18" x14ac:dyDescent="0.35">
      <c r="A38" s="2" t="s">
        <v>832</v>
      </c>
      <c r="B38" s="583"/>
      <c r="C38" s="583"/>
      <c r="D38" s="583"/>
      <c r="E38" s="583"/>
      <c r="F38" s="583"/>
      <c r="G38" s="583">
        <v>1</v>
      </c>
      <c r="H38" s="583"/>
      <c r="I38" s="583"/>
      <c r="J38" s="583"/>
      <c r="K38" s="583"/>
      <c r="L38" s="583"/>
      <c r="M38" s="583"/>
      <c r="N38" s="583">
        <v>1</v>
      </c>
      <c r="O38" s="583"/>
      <c r="P38" s="583"/>
      <c r="Q38" s="583"/>
      <c r="R38" s="583">
        <v>2</v>
      </c>
    </row>
    <row r="39" spans="1:18" x14ac:dyDescent="0.35">
      <c r="A39" s="2" t="s">
        <v>185</v>
      </c>
      <c r="B39" s="583"/>
      <c r="C39" s="583"/>
      <c r="D39" s="583"/>
      <c r="E39" s="583"/>
      <c r="F39" s="583"/>
      <c r="G39" s="583">
        <v>5</v>
      </c>
      <c r="H39" s="583"/>
      <c r="I39" s="583"/>
      <c r="J39" s="583"/>
      <c r="K39" s="583"/>
      <c r="L39" s="583"/>
      <c r="M39" s="583"/>
      <c r="N39" s="583"/>
      <c r="O39" s="583"/>
      <c r="P39" s="583"/>
      <c r="Q39" s="583"/>
      <c r="R39" s="583">
        <v>5</v>
      </c>
    </row>
    <row r="40" spans="1:18" x14ac:dyDescent="0.35">
      <c r="A40" s="2" t="s">
        <v>187</v>
      </c>
      <c r="B40" s="583"/>
      <c r="C40" s="583"/>
      <c r="D40" s="583"/>
      <c r="E40" s="583"/>
      <c r="F40" s="583"/>
      <c r="G40" s="583">
        <v>2</v>
      </c>
      <c r="H40" s="583"/>
      <c r="I40" s="583"/>
      <c r="J40" s="583"/>
      <c r="K40" s="583"/>
      <c r="L40" s="583"/>
      <c r="M40" s="583"/>
      <c r="N40" s="583"/>
      <c r="O40" s="583"/>
      <c r="P40" s="583"/>
      <c r="Q40" s="583"/>
      <c r="R40" s="583">
        <v>2</v>
      </c>
    </row>
    <row r="41" spans="1:18" x14ac:dyDescent="0.35">
      <c r="A41" s="2" t="s">
        <v>191</v>
      </c>
      <c r="B41" s="583"/>
      <c r="C41" s="583"/>
      <c r="D41" s="583"/>
      <c r="E41" s="583"/>
      <c r="F41" s="583"/>
      <c r="G41" s="583">
        <v>6</v>
      </c>
      <c r="H41" s="583"/>
      <c r="I41" s="583"/>
      <c r="J41" s="583">
        <v>3</v>
      </c>
      <c r="K41" s="583"/>
      <c r="L41" s="583"/>
      <c r="M41" s="583"/>
      <c r="N41" s="583"/>
      <c r="O41" s="583"/>
      <c r="P41" s="583"/>
      <c r="Q41" s="583"/>
      <c r="R41" s="583">
        <v>9</v>
      </c>
    </row>
    <row r="42" spans="1:18" x14ac:dyDescent="0.35">
      <c r="A42" s="2" t="s">
        <v>198</v>
      </c>
      <c r="B42" s="583"/>
      <c r="C42" s="583"/>
      <c r="D42" s="583"/>
      <c r="E42" s="583"/>
      <c r="F42" s="583"/>
      <c r="G42" s="583">
        <v>3</v>
      </c>
      <c r="H42" s="583"/>
      <c r="I42" s="583"/>
      <c r="J42" s="583"/>
      <c r="K42" s="583"/>
      <c r="L42" s="583"/>
      <c r="M42" s="583"/>
      <c r="N42" s="583"/>
      <c r="O42" s="583"/>
      <c r="P42" s="583"/>
      <c r="Q42" s="583"/>
      <c r="R42" s="583">
        <v>3</v>
      </c>
    </row>
    <row r="43" spans="1:18" x14ac:dyDescent="0.35">
      <c r="A43" s="2" t="s">
        <v>193</v>
      </c>
      <c r="B43" s="583"/>
      <c r="C43" s="583"/>
      <c r="D43" s="583"/>
      <c r="E43" s="583"/>
      <c r="F43" s="583"/>
      <c r="G43" s="583">
        <v>11</v>
      </c>
      <c r="H43" s="583"/>
      <c r="I43" s="583"/>
      <c r="J43" s="583"/>
      <c r="K43" s="583"/>
      <c r="L43" s="583"/>
      <c r="M43" s="583"/>
      <c r="N43" s="583"/>
      <c r="O43" s="583"/>
      <c r="P43" s="583"/>
      <c r="Q43" s="583"/>
      <c r="R43" s="583">
        <v>11</v>
      </c>
    </row>
    <row r="44" spans="1:18" x14ac:dyDescent="0.35">
      <c r="A44" s="2" t="s">
        <v>201</v>
      </c>
      <c r="B44" s="583"/>
      <c r="C44" s="583"/>
      <c r="D44" s="583"/>
      <c r="E44" s="583"/>
      <c r="F44" s="583"/>
      <c r="G44" s="583"/>
      <c r="H44" s="583">
        <v>1</v>
      </c>
      <c r="I44" s="583"/>
      <c r="J44" s="583"/>
      <c r="K44" s="583"/>
      <c r="L44" s="583"/>
      <c r="M44" s="583"/>
      <c r="N44" s="583"/>
      <c r="O44" s="583"/>
      <c r="P44" s="583"/>
      <c r="Q44" s="583"/>
      <c r="R44" s="583">
        <v>1</v>
      </c>
    </row>
    <row r="45" spans="1:18" x14ac:dyDescent="0.35">
      <c r="A45" s="2" t="s">
        <v>204</v>
      </c>
      <c r="B45" s="583"/>
      <c r="C45" s="583"/>
      <c r="D45" s="583"/>
      <c r="E45" s="583"/>
      <c r="F45" s="583"/>
      <c r="G45" s="583"/>
      <c r="H45" s="583">
        <v>7</v>
      </c>
      <c r="I45" s="583"/>
      <c r="J45" s="583"/>
      <c r="K45" s="583"/>
      <c r="L45" s="583">
        <v>2</v>
      </c>
      <c r="M45" s="583"/>
      <c r="N45" s="583"/>
      <c r="O45" s="583"/>
      <c r="P45" s="583"/>
      <c r="Q45" s="583"/>
      <c r="R45" s="583">
        <v>9</v>
      </c>
    </row>
    <row r="46" spans="1:18" x14ac:dyDescent="0.35">
      <c r="A46" s="2" t="s">
        <v>1393</v>
      </c>
      <c r="B46" s="583"/>
      <c r="C46" s="583"/>
      <c r="D46" s="583"/>
      <c r="E46" s="583"/>
      <c r="F46" s="583"/>
      <c r="G46" s="583"/>
      <c r="H46" s="583">
        <v>1</v>
      </c>
      <c r="I46" s="583"/>
      <c r="J46" s="583"/>
      <c r="K46" s="583"/>
      <c r="L46" s="583"/>
      <c r="M46" s="583"/>
      <c r="N46" s="583"/>
      <c r="O46" s="583"/>
      <c r="P46" s="583"/>
      <c r="Q46" s="583">
        <v>1</v>
      </c>
      <c r="R46" s="583">
        <v>2</v>
      </c>
    </row>
    <row r="47" spans="1:18" x14ac:dyDescent="0.35">
      <c r="A47" s="2" t="s">
        <v>222</v>
      </c>
      <c r="B47" s="583"/>
      <c r="C47" s="583"/>
      <c r="D47" s="583"/>
      <c r="E47" s="583"/>
      <c r="F47" s="583"/>
      <c r="G47" s="583"/>
      <c r="H47" s="583">
        <v>3</v>
      </c>
      <c r="I47" s="583"/>
      <c r="J47" s="583"/>
      <c r="K47" s="583"/>
      <c r="L47" s="583"/>
      <c r="M47" s="583"/>
      <c r="N47" s="583"/>
      <c r="O47" s="583"/>
      <c r="P47" s="583"/>
      <c r="Q47" s="583"/>
      <c r="R47" s="583">
        <v>3</v>
      </c>
    </row>
    <row r="48" spans="1:18" x14ac:dyDescent="0.35">
      <c r="A48" s="2" t="s">
        <v>224</v>
      </c>
      <c r="B48" s="583"/>
      <c r="C48" s="583"/>
      <c r="D48" s="583"/>
      <c r="E48" s="583"/>
      <c r="F48" s="583"/>
      <c r="G48" s="583"/>
      <c r="H48" s="583"/>
      <c r="I48" s="583">
        <v>2</v>
      </c>
      <c r="J48" s="583"/>
      <c r="K48" s="583"/>
      <c r="L48" s="583"/>
      <c r="M48" s="583"/>
      <c r="N48" s="583"/>
      <c r="O48" s="583"/>
      <c r="P48" s="583"/>
      <c r="Q48" s="583"/>
      <c r="R48" s="583">
        <v>2</v>
      </c>
    </row>
    <row r="49" spans="1:18" x14ac:dyDescent="0.35">
      <c r="A49" s="2" t="s">
        <v>227</v>
      </c>
      <c r="B49" s="583"/>
      <c r="C49" s="583"/>
      <c r="D49" s="583"/>
      <c r="E49" s="583"/>
      <c r="F49" s="583"/>
      <c r="G49" s="583"/>
      <c r="H49" s="583"/>
      <c r="I49" s="583">
        <v>4</v>
      </c>
      <c r="J49" s="583"/>
      <c r="K49" s="583"/>
      <c r="L49" s="583"/>
      <c r="M49" s="583"/>
      <c r="N49" s="583"/>
      <c r="O49" s="583"/>
      <c r="P49" s="583"/>
      <c r="Q49" s="583"/>
      <c r="R49" s="583">
        <v>4</v>
      </c>
    </row>
    <row r="50" spans="1:18" x14ac:dyDescent="0.35">
      <c r="A50" s="2" t="s">
        <v>210</v>
      </c>
      <c r="B50" s="583"/>
      <c r="C50" s="583"/>
      <c r="D50" s="583"/>
      <c r="E50" s="583"/>
      <c r="F50" s="583"/>
      <c r="G50" s="583"/>
      <c r="H50" s="583"/>
      <c r="I50" s="583">
        <v>3</v>
      </c>
      <c r="J50" s="583"/>
      <c r="K50" s="583"/>
      <c r="L50" s="583"/>
      <c r="M50" s="583"/>
      <c r="N50" s="583"/>
      <c r="O50" s="583"/>
      <c r="P50" s="583"/>
      <c r="Q50" s="583"/>
      <c r="R50" s="583">
        <v>3</v>
      </c>
    </row>
    <row r="51" spans="1:18" x14ac:dyDescent="0.35">
      <c r="A51" s="2" t="s">
        <v>214</v>
      </c>
      <c r="B51" s="583"/>
      <c r="C51" s="583"/>
      <c r="D51" s="583"/>
      <c r="E51" s="583"/>
      <c r="F51" s="583"/>
      <c r="G51" s="583"/>
      <c r="H51" s="583"/>
      <c r="I51" s="583">
        <v>6</v>
      </c>
      <c r="J51" s="583"/>
      <c r="K51" s="583"/>
      <c r="L51" s="583"/>
      <c r="M51" s="583"/>
      <c r="N51" s="583"/>
      <c r="O51" s="583"/>
      <c r="P51" s="583"/>
      <c r="Q51" s="583"/>
      <c r="R51" s="583">
        <v>6</v>
      </c>
    </row>
    <row r="52" spans="1:18" x14ac:dyDescent="0.35">
      <c r="A52" s="2" t="s">
        <v>216</v>
      </c>
      <c r="B52" s="583"/>
      <c r="C52" s="583"/>
      <c r="D52" s="583"/>
      <c r="E52" s="583"/>
      <c r="F52" s="583"/>
      <c r="G52" s="583"/>
      <c r="H52" s="583"/>
      <c r="I52" s="583">
        <v>2</v>
      </c>
      <c r="J52" s="583"/>
      <c r="K52" s="583"/>
      <c r="L52" s="583"/>
      <c r="M52" s="583"/>
      <c r="N52" s="583"/>
      <c r="O52" s="583"/>
      <c r="P52" s="583"/>
      <c r="Q52" s="583"/>
      <c r="R52" s="583">
        <v>2</v>
      </c>
    </row>
    <row r="53" spans="1:18" x14ac:dyDescent="0.35">
      <c r="A53" s="2" t="s">
        <v>1025</v>
      </c>
      <c r="B53" s="583"/>
      <c r="C53" s="583"/>
      <c r="D53" s="583">
        <v>1</v>
      </c>
      <c r="E53" s="583"/>
      <c r="F53" s="583"/>
      <c r="G53" s="583"/>
      <c r="H53" s="583"/>
      <c r="I53" s="583"/>
      <c r="J53" s="583"/>
      <c r="K53" s="583"/>
      <c r="L53" s="583"/>
      <c r="M53" s="583"/>
      <c r="N53" s="583"/>
      <c r="O53" s="583"/>
      <c r="P53" s="583"/>
      <c r="Q53" s="583"/>
      <c r="R53" s="583">
        <v>1</v>
      </c>
    </row>
    <row r="54" spans="1:18" x14ac:dyDescent="0.35">
      <c r="A54" s="2" t="s">
        <v>834</v>
      </c>
      <c r="B54" s="583"/>
      <c r="C54" s="583"/>
      <c r="D54" s="583"/>
      <c r="E54" s="583"/>
      <c r="F54" s="583"/>
      <c r="G54" s="583">
        <v>1</v>
      </c>
      <c r="H54" s="583"/>
      <c r="I54" s="583"/>
      <c r="J54" s="583"/>
      <c r="K54" s="583"/>
      <c r="L54" s="583"/>
      <c r="M54" s="583"/>
      <c r="N54" s="583">
        <v>3</v>
      </c>
      <c r="O54" s="583"/>
      <c r="P54" s="583"/>
      <c r="Q54" s="583"/>
      <c r="R54" s="583">
        <v>4</v>
      </c>
    </row>
    <row r="55" spans="1:18" x14ac:dyDescent="0.35">
      <c r="A55" s="2" t="s">
        <v>207</v>
      </c>
      <c r="B55" s="583"/>
      <c r="C55" s="583"/>
      <c r="D55" s="583"/>
      <c r="E55" s="583"/>
      <c r="F55" s="583"/>
      <c r="G55" s="583"/>
      <c r="H55" s="583">
        <v>1</v>
      </c>
      <c r="I55" s="583"/>
      <c r="J55" s="583"/>
      <c r="K55" s="583"/>
      <c r="L55" s="583"/>
      <c r="M55" s="583"/>
      <c r="N55" s="583"/>
      <c r="O55" s="583"/>
      <c r="P55" s="583"/>
      <c r="Q55" s="583"/>
      <c r="R55" s="583">
        <v>1</v>
      </c>
    </row>
    <row r="56" spans="1:18" x14ac:dyDescent="0.35">
      <c r="A56" s="2" t="s">
        <v>56</v>
      </c>
      <c r="B56" s="583">
        <v>15</v>
      </c>
      <c r="C56" s="583">
        <v>16</v>
      </c>
      <c r="D56" s="583">
        <v>15</v>
      </c>
      <c r="E56" s="583">
        <v>27</v>
      </c>
      <c r="F56" s="583">
        <v>6</v>
      </c>
      <c r="G56" s="583">
        <v>59</v>
      </c>
      <c r="H56" s="583">
        <v>14</v>
      </c>
      <c r="I56" s="583">
        <v>17</v>
      </c>
      <c r="J56" s="583">
        <v>3</v>
      </c>
      <c r="K56" s="583">
        <v>4</v>
      </c>
      <c r="L56" s="583">
        <v>2</v>
      </c>
      <c r="M56" s="583">
        <v>1</v>
      </c>
      <c r="N56" s="583">
        <v>4</v>
      </c>
      <c r="O56" s="583">
        <v>1</v>
      </c>
      <c r="P56" s="583">
        <v>7</v>
      </c>
      <c r="Q56" s="583">
        <v>1</v>
      </c>
      <c r="R56" s="583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78" bestFit="1" customWidth="1"/>
    <col min="3" max="11" width="19.09765625" style="278" bestFit="1" customWidth="1"/>
    <col min="12" max="12" width="19.69921875" style="278" bestFit="1" customWidth="1"/>
    <col min="13" max="49" width="19.09765625" style="278" bestFit="1" customWidth="1"/>
    <col min="50" max="50" width="22.19921875" style="278" bestFit="1" customWidth="1"/>
    <col min="51" max="77" width="19.09765625" style="278" bestFit="1" customWidth="1"/>
    <col min="78" max="79" width="26.8984375" style="278" bestFit="1" customWidth="1"/>
    <col min="80" max="16384" width="8.69921875" style="27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56" customFormat="1" x14ac:dyDescent="0.35">
      <c r="A2" s="357"/>
      <c r="B2" s="50"/>
      <c r="C2" s="50"/>
      <c r="F2" s="358"/>
    </row>
    <row r="3" spans="1:22" s="56" customFormat="1" x14ac:dyDescent="0.35">
      <c r="A3" s="50" t="s">
        <v>1465</v>
      </c>
      <c r="B3" s="50" t="s">
        <v>2328</v>
      </c>
      <c r="C3" s="50" t="s">
        <v>2329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86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56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78"/>
    </row>
    <row r="34" spans="1:79" x14ac:dyDescent="0.35">
      <c r="B34" s="585" t="s">
        <v>2330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78" t="s">
        <v>2156</v>
      </c>
      <c r="N35" s="53">
        <v>44421</v>
      </c>
      <c r="P35" s="53">
        <v>44419</v>
      </c>
      <c r="R35" s="278" t="s">
        <v>86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78" t="s">
        <v>2177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78" t="s">
        <v>2328</v>
      </c>
      <c r="CA35" s="278" t="s">
        <v>2329</v>
      </c>
    </row>
    <row r="36" spans="1:79" x14ac:dyDescent="0.35">
      <c r="A36" s="586" t="s">
        <v>1465</v>
      </c>
      <c r="B36" s="278" t="s">
        <v>2331</v>
      </c>
      <c r="C36" s="278" t="s">
        <v>2332</v>
      </c>
      <c r="D36" s="278" t="s">
        <v>2331</v>
      </c>
      <c r="E36" s="278" t="s">
        <v>2332</v>
      </c>
      <c r="F36" s="278" t="s">
        <v>2331</v>
      </c>
      <c r="G36" s="278" t="s">
        <v>2332</v>
      </c>
      <c r="H36" s="278" t="s">
        <v>2331</v>
      </c>
      <c r="I36" s="278" t="s">
        <v>2332</v>
      </c>
      <c r="J36" s="278" t="s">
        <v>2331</v>
      </c>
      <c r="K36" s="278" t="s">
        <v>2332</v>
      </c>
      <c r="L36" s="278" t="s">
        <v>2331</v>
      </c>
      <c r="M36" s="278" t="s">
        <v>2332</v>
      </c>
      <c r="N36" s="278" t="s">
        <v>2331</v>
      </c>
      <c r="O36" s="278" t="s">
        <v>2332</v>
      </c>
      <c r="P36" s="278" t="s">
        <v>2331</v>
      </c>
      <c r="Q36" s="278" t="s">
        <v>2332</v>
      </c>
      <c r="R36" s="278" t="s">
        <v>2331</v>
      </c>
      <c r="S36" s="278" t="s">
        <v>2332</v>
      </c>
      <c r="T36" s="278" t="s">
        <v>2331</v>
      </c>
      <c r="U36" s="278" t="s">
        <v>2332</v>
      </c>
      <c r="V36" s="278" t="s">
        <v>2331</v>
      </c>
      <c r="W36" s="278" t="s">
        <v>2332</v>
      </c>
      <c r="X36" s="278" t="s">
        <v>2331</v>
      </c>
      <c r="Y36" s="278" t="s">
        <v>2332</v>
      </c>
      <c r="Z36" s="278" t="s">
        <v>2331</v>
      </c>
      <c r="AA36" s="278" t="s">
        <v>2332</v>
      </c>
      <c r="AB36" s="278" t="s">
        <v>2331</v>
      </c>
      <c r="AC36" s="278" t="s">
        <v>2332</v>
      </c>
      <c r="AD36" s="278" t="s">
        <v>2331</v>
      </c>
      <c r="AE36" s="278" t="s">
        <v>2332</v>
      </c>
      <c r="AF36" s="278" t="s">
        <v>2331</v>
      </c>
      <c r="AG36" s="278" t="s">
        <v>2332</v>
      </c>
      <c r="AH36" s="278" t="s">
        <v>2331</v>
      </c>
      <c r="AI36" s="278" t="s">
        <v>2332</v>
      </c>
      <c r="AJ36" s="278" t="s">
        <v>2331</v>
      </c>
      <c r="AK36" s="278" t="s">
        <v>2332</v>
      </c>
      <c r="AL36" s="278" t="s">
        <v>2331</v>
      </c>
      <c r="AM36" s="278" t="s">
        <v>2332</v>
      </c>
      <c r="AN36" s="278" t="s">
        <v>2331</v>
      </c>
      <c r="AO36" s="278" t="s">
        <v>2332</v>
      </c>
      <c r="AP36" s="278" t="s">
        <v>2331</v>
      </c>
      <c r="AQ36" s="278" t="s">
        <v>2332</v>
      </c>
      <c r="AR36" s="278" t="s">
        <v>2331</v>
      </c>
      <c r="AS36" s="278" t="s">
        <v>2332</v>
      </c>
      <c r="AT36" s="278" t="s">
        <v>2331</v>
      </c>
      <c r="AU36" s="278" t="s">
        <v>2332</v>
      </c>
      <c r="AV36" s="278" t="s">
        <v>2331</v>
      </c>
      <c r="AW36" s="278" t="s">
        <v>2332</v>
      </c>
      <c r="AX36" s="278" t="s">
        <v>2331</v>
      </c>
      <c r="AY36" s="278" t="s">
        <v>2332</v>
      </c>
      <c r="AZ36" s="278" t="s">
        <v>2331</v>
      </c>
      <c r="BA36" s="278" t="s">
        <v>2332</v>
      </c>
      <c r="BB36" s="278" t="s">
        <v>2331</v>
      </c>
      <c r="BC36" s="278" t="s">
        <v>2332</v>
      </c>
      <c r="BD36" s="278" t="s">
        <v>2331</v>
      </c>
      <c r="BE36" s="278" t="s">
        <v>2332</v>
      </c>
      <c r="BF36" s="278" t="s">
        <v>2331</v>
      </c>
      <c r="BG36" s="278" t="s">
        <v>2332</v>
      </c>
      <c r="BH36" s="278" t="s">
        <v>2331</v>
      </c>
      <c r="BI36" s="278" t="s">
        <v>2332</v>
      </c>
      <c r="BJ36" s="278" t="s">
        <v>2331</v>
      </c>
      <c r="BK36" s="278" t="s">
        <v>2332</v>
      </c>
      <c r="BL36" s="278" t="s">
        <v>2331</v>
      </c>
      <c r="BM36" s="278" t="s">
        <v>2332</v>
      </c>
      <c r="BN36" s="278" t="s">
        <v>2331</v>
      </c>
      <c r="BO36" s="278" t="s">
        <v>2332</v>
      </c>
      <c r="BP36" s="278" t="s">
        <v>2331</v>
      </c>
      <c r="BQ36" s="278" t="s">
        <v>2332</v>
      </c>
      <c r="BR36" s="278" t="s">
        <v>2331</v>
      </c>
      <c r="BS36" s="278" t="s">
        <v>2332</v>
      </c>
      <c r="BT36" s="278" t="s">
        <v>2331</v>
      </c>
      <c r="BU36" s="278" t="s">
        <v>2332</v>
      </c>
      <c r="BV36" s="278" t="s">
        <v>2331</v>
      </c>
      <c r="BW36" s="278" t="s">
        <v>2332</v>
      </c>
      <c r="BX36" s="278" t="s">
        <v>2331</v>
      </c>
      <c r="BY36" s="278" t="s">
        <v>2332</v>
      </c>
    </row>
    <row r="37" spans="1:79" x14ac:dyDescent="0.35">
      <c r="A37" s="42">
        <v>44396</v>
      </c>
      <c r="B37" s="583"/>
      <c r="C37" s="583"/>
      <c r="D37" s="583"/>
      <c r="E37" s="583"/>
      <c r="F37" s="583"/>
      <c r="G37" s="583"/>
      <c r="H37" s="583"/>
      <c r="I37" s="583"/>
      <c r="J37" s="583"/>
      <c r="K37" s="583"/>
      <c r="L37" s="583"/>
      <c r="M37" s="583"/>
      <c r="N37" s="583"/>
      <c r="O37" s="583"/>
      <c r="P37" s="583"/>
      <c r="Q37" s="583"/>
      <c r="R37" s="583"/>
      <c r="S37" s="583"/>
      <c r="T37" s="583"/>
      <c r="U37" s="583"/>
      <c r="V37" s="583"/>
      <c r="W37" s="583"/>
      <c r="X37" s="583"/>
      <c r="Y37" s="583"/>
      <c r="Z37" s="583"/>
      <c r="AA37" s="583"/>
      <c r="AB37" s="583"/>
      <c r="AC37" s="583"/>
      <c r="AD37" s="583"/>
      <c r="AE37" s="583"/>
      <c r="AF37" s="583"/>
      <c r="AG37" s="583"/>
      <c r="AH37" s="583"/>
      <c r="AI37" s="583"/>
      <c r="AJ37" s="583"/>
      <c r="AK37" s="583"/>
      <c r="AL37" s="583"/>
      <c r="AM37" s="583"/>
      <c r="AN37" s="583"/>
      <c r="AO37" s="583"/>
      <c r="AP37" s="583"/>
      <c r="AQ37" s="583"/>
      <c r="AR37" s="583"/>
      <c r="AS37" s="583"/>
      <c r="AT37" s="583"/>
      <c r="AU37" s="583"/>
      <c r="AV37" s="583"/>
      <c r="AW37" s="583"/>
      <c r="AX37" s="583"/>
      <c r="AY37" s="583"/>
      <c r="AZ37" s="583"/>
      <c r="BA37" s="583"/>
      <c r="BB37" s="583"/>
      <c r="BC37" s="583"/>
      <c r="BD37" s="583"/>
      <c r="BE37" s="583"/>
      <c r="BF37" s="583"/>
      <c r="BG37" s="583"/>
      <c r="BH37" s="583"/>
      <c r="BI37" s="583"/>
      <c r="BJ37" s="583">
        <v>1</v>
      </c>
      <c r="BK37" s="583">
        <v>1</v>
      </c>
      <c r="BL37" s="583"/>
      <c r="BM37" s="583"/>
      <c r="BN37" s="583"/>
      <c r="BO37" s="583"/>
      <c r="BP37" s="583"/>
      <c r="BQ37" s="583"/>
      <c r="BR37" s="583"/>
      <c r="BS37" s="583"/>
      <c r="BT37" s="583"/>
      <c r="BU37" s="583"/>
      <c r="BV37" s="583"/>
      <c r="BW37" s="583"/>
      <c r="BX37" s="583"/>
      <c r="BY37" s="583"/>
      <c r="BZ37" s="583">
        <v>1</v>
      </c>
      <c r="CA37" s="583">
        <v>1</v>
      </c>
    </row>
    <row r="38" spans="1:79" x14ac:dyDescent="0.35">
      <c r="A38" s="42">
        <v>44397</v>
      </c>
      <c r="B38" s="583">
        <v>2</v>
      </c>
      <c r="C38" s="583">
        <v>2</v>
      </c>
      <c r="D38" s="583"/>
      <c r="E38" s="583"/>
      <c r="F38" s="583"/>
      <c r="G38" s="583"/>
      <c r="H38" s="583"/>
      <c r="I38" s="583"/>
      <c r="J38" s="583"/>
      <c r="K38" s="583"/>
      <c r="L38" s="583"/>
      <c r="M38" s="583"/>
      <c r="N38" s="583"/>
      <c r="O38" s="583"/>
      <c r="P38" s="583"/>
      <c r="Q38" s="583"/>
      <c r="R38" s="583"/>
      <c r="S38" s="583"/>
      <c r="T38" s="583"/>
      <c r="U38" s="583"/>
      <c r="V38" s="583"/>
      <c r="W38" s="583"/>
      <c r="X38" s="583"/>
      <c r="Y38" s="583"/>
      <c r="Z38" s="583"/>
      <c r="AA38" s="583"/>
      <c r="AB38" s="583"/>
      <c r="AC38" s="583"/>
      <c r="AD38" s="583"/>
      <c r="AE38" s="583"/>
      <c r="AF38" s="583"/>
      <c r="AG38" s="583"/>
      <c r="AH38" s="583"/>
      <c r="AI38" s="583"/>
      <c r="AJ38" s="583"/>
      <c r="AK38" s="583"/>
      <c r="AL38" s="583"/>
      <c r="AM38" s="583"/>
      <c r="AN38" s="583"/>
      <c r="AO38" s="583"/>
      <c r="AP38" s="583"/>
      <c r="AQ38" s="583"/>
      <c r="AR38" s="583"/>
      <c r="AS38" s="583"/>
      <c r="AT38" s="583"/>
      <c r="AU38" s="583"/>
      <c r="AV38" s="583"/>
      <c r="AW38" s="583"/>
      <c r="AX38" s="583"/>
      <c r="AY38" s="583"/>
      <c r="AZ38" s="583"/>
      <c r="BA38" s="583"/>
      <c r="BB38" s="583"/>
      <c r="BC38" s="583"/>
      <c r="BD38" s="583"/>
      <c r="BE38" s="583"/>
      <c r="BF38" s="583"/>
      <c r="BG38" s="583"/>
      <c r="BH38" s="583"/>
      <c r="BI38" s="583"/>
      <c r="BJ38" s="583"/>
      <c r="BK38" s="583"/>
      <c r="BL38" s="583"/>
      <c r="BM38" s="583"/>
      <c r="BN38" s="583"/>
      <c r="BO38" s="583"/>
      <c r="BP38" s="583"/>
      <c r="BQ38" s="583"/>
      <c r="BR38" s="583"/>
      <c r="BS38" s="583"/>
      <c r="BT38" s="583"/>
      <c r="BU38" s="583"/>
      <c r="BV38" s="583"/>
      <c r="BW38" s="583"/>
      <c r="BX38" s="583"/>
      <c r="BY38" s="583"/>
      <c r="BZ38" s="583">
        <v>2</v>
      </c>
      <c r="CA38" s="583">
        <v>2</v>
      </c>
    </row>
    <row r="39" spans="1:79" x14ac:dyDescent="0.35">
      <c r="A39" s="42">
        <v>44398</v>
      </c>
      <c r="B39" s="583">
        <v>1</v>
      </c>
      <c r="C39" s="583">
        <v>1</v>
      </c>
      <c r="D39" s="583">
        <v>1</v>
      </c>
      <c r="E39" s="583"/>
      <c r="F39" s="583"/>
      <c r="G39" s="583"/>
      <c r="H39" s="583"/>
      <c r="I39" s="583"/>
      <c r="J39" s="583">
        <v>4</v>
      </c>
      <c r="K39" s="583">
        <v>4</v>
      </c>
      <c r="L39" s="583"/>
      <c r="M39" s="583"/>
      <c r="N39" s="583"/>
      <c r="O39" s="583"/>
      <c r="P39" s="583"/>
      <c r="Q39" s="583"/>
      <c r="R39" s="583"/>
      <c r="S39" s="583"/>
      <c r="T39" s="583"/>
      <c r="U39" s="583"/>
      <c r="V39" s="583"/>
      <c r="W39" s="583"/>
      <c r="X39" s="583"/>
      <c r="Y39" s="583"/>
      <c r="Z39" s="583"/>
      <c r="AA39" s="583"/>
      <c r="AB39" s="583"/>
      <c r="AC39" s="583"/>
      <c r="AD39" s="583"/>
      <c r="AE39" s="583"/>
      <c r="AF39" s="583"/>
      <c r="AG39" s="583"/>
      <c r="AH39" s="583"/>
      <c r="AI39" s="583"/>
      <c r="AJ39" s="583"/>
      <c r="AK39" s="583"/>
      <c r="AL39" s="583"/>
      <c r="AM39" s="583"/>
      <c r="AN39" s="583"/>
      <c r="AO39" s="583"/>
      <c r="AP39" s="583"/>
      <c r="AQ39" s="583"/>
      <c r="AR39" s="583"/>
      <c r="AS39" s="583"/>
      <c r="AT39" s="583"/>
      <c r="AU39" s="583"/>
      <c r="AV39" s="583"/>
      <c r="AW39" s="583"/>
      <c r="AX39" s="583"/>
      <c r="AY39" s="583"/>
      <c r="AZ39" s="583"/>
      <c r="BA39" s="583"/>
      <c r="BB39" s="583"/>
      <c r="BC39" s="583"/>
      <c r="BD39" s="583"/>
      <c r="BE39" s="583"/>
      <c r="BF39" s="583"/>
      <c r="BG39" s="583"/>
      <c r="BH39" s="583"/>
      <c r="BI39" s="583"/>
      <c r="BJ39" s="583"/>
      <c r="BK39" s="583"/>
      <c r="BL39" s="583"/>
      <c r="BM39" s="583"/>
      <c r="BN39" s="583"/>
      <c r="BO39" s="583"/>
      <c r="BP39" s="583"/>
      <c r="BQ39" s="583"/>
      <c r="BR39" s="583"/>
      <c r="BS39" s="583"/>
      <c r="BT39" s="583"/>
      <c r="BU39" s="583"/>
      <c r="BV39" s="583"/>
      <c r="BW39" s="583"/>
      <c r="BX39" s="583"/>
      <c r="BY39" s="583"/>
      <c r="BZ39" s="583">
        <v>6</v>
      </c>
      <c r="CA39" s="583">
        <v>5</v>
      </c>
    </row>
    <row r="40" spans="1:79" x14ac:dyDescent="0.35">
      <c r="A40" s="42">
        <v>44399</v>
      </c>
      <c r="B40" s="583">
        <v>2</v>
      </c>
      <c r="C40" s="583">
        <v>2</v>
      </c>
      <c r="D40" s="583"/>
      <c r="E40" s="583"/>
      <c r="F40" s="583">
        <v>1</v>
      </c>
      <c r="G40" s="583">
        <v>1</v>
      </c>
      <c r="H40" s="583"/>
      <c r="I40" s="583"/>
      <c r="J40" s="583"/>
      <c r="K40" s="583"/>
      <c r="L40" s="583"/>
      <c r="M40" s="583"/>
      <c r="N40" s="583">
        <v>1</v>
      </c>
      <c r="O40" s="583">
        <v>1</v>
      </c>
      <c r="P40" s="583"/>
      <c r="Q40" s="583"/>
      <c r="R40" s="583"/>
      <c r="S40" s="583"/>
      <c r="T40" s="583"/>
      <c r="U40" s="583"/>
      <c r="V40" s="583"/>
      <c r="W40" s="583"/>
      <c r="X40" s="583"/>
      <c r="Y40" s="583"/>
      <c r="Z40" s="583"/>
      <c r="AA40" s="583"/>
      <c r="AB40" s="583"/>
      <c r="AC40" s="583"/>
      <c r="AD40" s="583"/>
      <c r="AE40" s="583"/>
      <c r="AF40" s="583"/>
      <c r="AG40" s="583"/>
      <c r="AH40" s="583"/>
      <c r="AI40" s="583"/>
      <c r="AJ40" s="583"/>
      <c r="AK40" s="583"/>
      <c r="AL40" s="583"/>
      <c r="AM40" s="583"/>
      <c r="AN40" s="583"/>
      <c r="AO40" s="583"/>
      <c r="AP40" s="583"/>
      <c r="AQ40" s="583"/>
      <c r="AR40" s="583"/>
      <c r="AS40" s="583"/>
      <c r="AT40" s="583"/>
      <c r="AU40" s="583"/>
      <c r="AV40" s="583"/>
      <c r="AW40" s="583"/>
      <c r="AX40" s="583"/>
      <c r="AY40" s="583"/>
      <c r="AZ40" s="583"/>
      <c r="BA40" s="583"/>
      <c r="BB40" s="583"/>
      <c r="BC40" s="583"/>
      <c r="BD40" s="583"/>
      <c r="BE40" s="583"/>
      <c r="BF40" s="583"/>
      <c r="BG40" s="583"/>
      <c r="BH40" s="583"/>
      <c r="BI40" s="583"/>
      <c r="BJ40" s="583"/>
      <c r="BK40" s="583"/>
      <c r="BL40" s="583"/>
      <c r="BM40" s="583"/>
      <c r="BN40" s="583"/>
      <c r="BO40" s="583"/>
      <c r="BP40" s="583"/>
      <c r="BQ40" s="583"/>
      <c r="BR40" s="583"/>
      <c r="BS40" s="583"/>
      <c r="BT40" s="583"/>
      <c r="BU40" s="583"/>
      <c r="BV40" s="583"/>
      <c r="BW40" s="583"/>
      <c r="BX40" s="583"/>
      <c r="BY40" s="583"/>
      <c r="BZ40" s="583">
        <v>4</v>
      </c>
      <c r="CA40" s="583">
        <v>4</v>
      </c>
    </row>
    <row r="41" spans="1:79" x14ac:dyDescent="0.35">
      <c r="A41" s="42">
        <v>44400</v>
      </c>
      <c r="B41" s="583">
        <v>1</v>
      </c>
      <c r="C41" s="583">
        <v>1</v>
      </c>
      <c r="D41" s="583"/>
      <c r="E41" s="583"/>
      <c r="F41" s="583"/>
      <c r="G41" s="583"/>
      <c r="H41" s="583">
        <v>1</v>
      </c>
      <c r="I41" s="583">
        <v>1</v>
      </c>
      <c r="J41" s="583"/>
      <c r="K41" s="583"/>
      <c r="L41" s="583"/>
      <c r="M41" s="583"/>
      <c r="N41" s="583"/>
      <c r="O41" s="583"/>
      <c r="P41" s="583"/>
      <c r="Q41" s="583"/>
      <c r="R41" s="583"/>
      <c r="S41" s="583"/>
      <c r="T41" s="583"/>
      <c r="U41" s="583"/>
      <c r="V41" s="583"/>
      <c r="W41" s="583"/>
      <c r="X41" s="583"/>
      <c r="Y41" s="583"/>
      <c r="Z41" s="583"/>
      <c r="AA41" s="583"/>
      <c r="AB41" s="583"/>
      <c r="AC41" s="583"/>
      <c r="AD41" s="583"/>
      <c r="AE41" s="583"/>
      <c r="AF41" s="583"/>
      <c r="AG41" s="583"/>
      <c r="AH41" s="583"/>
      <c r="AI41" s="583"/>
      <c r="AJ41" s="583"/>
      <c r="AK41" s="583"/>
      <c r="AL41" s="583"/>
      <c r="AM41" s="583"/>
      <c r="AN41" s="583"/>
      <c r="AO41" s="583"/>
      <c r="AP41" s="583"/>
      <c r="AQ41" s="583"/>
      <c r="AR41" s="583"/>
      <c r="AS41" s="583"/>
      <c r="AT41" s="583"/>
      <c r="AU41" s="583"/>
      <c r="AV41" s="583"/>
      <c r="AW41" s="583"/>
      <c r="AX41" s="583"/>
      <c r="AY41" s="583"/>
      <c r="AZ41" s="583"/>
      <c r="BA41" s="583"/>
      <c r="BB41" s="583"/>
      <c r="BC41" s="583"/>
      <c r="BD41" s="583"/>
      <c r="BE41" s="583"/>
      <c r="BF41" s="583"/>
      <c r="BG41" s="583"/>
      <c r="BH41" s="583"/>
      <c r="BI41" s="583"/>
      <c r="BJ41" s="583"/>
      <c r="BK41" s="583"/>
      <c r="BL41" s="583"/>
      <c r="BM41" s="583"/>
      <c r="BN41" s="583"/>
      <c r="BO41" s="583"/>
      <c r="BP41" s="583"/>
      <c r="BQ41" s="583"/>
      <c r="BR41" s="583"/>
      <c r="BS41" s="583"/>
      <c r="BT41" s="583"/>
      <c r="BU41" s="583"/>
      <c r="BV41" s="583"/>
      <c r="BW41" s="583"/>
      <c r="BX41" s="583"/>
      <c r="BY41" s="583"/>
      <c r="BZ41" s="583">
        <v>2</v>
      </c>
      <c r="CA41" s="583">
        <v>2</v>
      </c>
    </row>
    <row r="42" spans="1:79" x14ac:dyDescent="0.35">
      <c r="A42" s="2" t="s">
        <v>86</v>
      </c>
      <c r="B42" s="583"/>
      <c r="C42" s="583"/>
      <c r="D42" s="583"/>
      <c r="E42" s="583"/>
      <c r="F42" s="583"/>
      <c r="G42" s="583"/>
      <c r="H42" s="583"/>
      <c r="I42" s="583"/>
      <c r="J42" s="583"/>
      <c r="K42" s="583"/>
      <c r="L42" s="583"/>
      <c r="M42" s="583"/>
      <c r="N42" s="583"/>
      <c r="O42" s="583"/>
      <c r="P42" s="583"/>
      <c r="Q42" s="583"/>
      <c r="R42" s="583"/>
      <c r="S42" s="583"/>
      <c r="T42" s="583"/>
      <c r="U42" s="583"/>
      <c r="V42" s="583"/>
      <c r="W42" s="583"/>
      <c r="X42" s="583"/>
      <c r="Y42" s="583"/>
      <c r="Z42" s="583"/>
      <c r="AA42" s="583"/>
      <c r="AB42" s="583"/>
      <c r="AC42" s="583"/>
      <c r="AD42" s="583"/>
      <c r="AE42" s="583"/>
      <c r="AF42" s="583"/>
      <c r="AG42" s="583"/>
      <c r="AH42" s="583"/>
      <c r="AI42" s="583"/>
      <c r="AJ42" s="583"/>
      <c r="AK42" s="583"/>
      <c r="AL42" s="583"/>
      <c r="AM42" s="583"/>
      <c r="AN42" s="583"/>
      <c r="AO42" s="583"/>
      <c r="AP42" s="583"/>
      <c r="AQ42" s="583"/>
      <c r="AR42" s="583"/>
      <c r="AS42" s="583"/>
      <c r="AT42" s="583"/>
      <c r="AU42" s="583"/>
      <c r="AV42" s="583"/>
      <c r="AW42" s="583"/>
      <c r="AX42" s="583"/>
      <c r="AY42" s="583"/>
      <c r="AZ42" s="583"/>
      <c r="BA42" s="583"/>
      <c r="BB42" s="583"/>
      <c r="BC42" s="583"/>
      <c r="BD42" s="583"/>
      <c r="BE42" s="583"/>
      <c r="BF42" s="583"/>
      <c r="BG42" s="583"/>
      <c r="BH42" s="583"/>
      <c r="BI42" s="583"/>
      <c r="BJ42" s="583"/>
      <c r="BK42" s="583"/>
      <c r="BL42" s="583"/>
      <c r="BM42" s="583"/>
      <c r="BN42" s="583"/>
      <c r="BO42" s="583"/>
      <c r="BP42" s="583"/>
      <c r="BQ42" s="583"/>
      <c r="BR42" s="583"/>
      <c r="BS42" s="583"/>
      <c r="BT42" s="583"/>
      <c r="BU42" s="583"/>
      <c r="BV42" s="583"/>
      <c r="BW42" s="583"/>
      <c r="BX42" s="583"/>
      <c r="BY42" s="583"/>
      <c r="BZ42" s="583"/>
      <c r="CA42" s="583"/>
    </row>
    <row r="43" spans="1:79" x14ac:dyDescent="0.35">
      <c r="A43" s="42">
        <v>44403</v>
      </c>
      <c r="B43" s="583"/>
      <c r="C43" s="583"/>
      <c r="D43" s="583">
        <v>2</v>
      </c>
      <c r="E43" s="583">
        <v>2</v>
      </c>
      <c r="F43" s="583"/>
      <c r="G43" s="583"/>
      <c r="H43" s="583">
        <v>1</v>
      </c>
      <c r="I43" s="583">
        <v>1</v>
      </c>
      <c r="J43" s="583">
        <v>6</v>
      </c>
      <c r="K43" s="583">
        <v>6</v>
      </c>
      <c r="L43" s="583"/>
      <c r="M43" s="583"/>
      <c r="N43" s="583"/>
      <c r="O43" s="583"/>
      <c r="P43" s="583"/>
      <c r="Q43" s="583"/>
      <c r="R43" s="583"/>
      <c r="S43" s="583"/>
      <c r="T43" s="583"/>
      <c r="U43" s="583"/>
      <c r="V43" s="583"/>
      <c r="W43" s="583"/>
      <c r="X43" s="583"/>
      <c r="Y43" s="583"/>
      <c r="Z43" s="583"/>
      <c r="AA43" s="583"/>
      <c r="AB43" s="583"/>
      <c r="AC43" s="583"/>
      <c r="AD43" s="583"/>
      <c r="AE43" s="583"/>
      <c r="AF43" s="583"/>
      <c r="AG43" s="583"/>
      <c r="AH43" s="583"/>
      <c r="AI43" s="583"/>
      <c r="AJ43" s="583"/>
      <c r="AK43" s="583"/>
      <c r="AL43" s="583"/>
      <c r="AM43" s="583"/>
      <c r="AN43" s="583"/>
      <c r="AO43" s="583"/>
      <c r="AP43" s="583"/>
      <c r="AQ43" s="583"/>
      <c r="AR43" s="583"/>
      <c r="AS43" s="583"/>
      <c r="AT43" s="583"/>
      <c r="AU43" s="583"/>
      <c r="AV43" s="583"/>
      <c r="AW43" s="583"/>
      <c r="AX43" s="583"/>
      <c r="AY43" s="583"/>
      <c r="AZ43" s="583"/>
      <c r="BA43" s="583"/>
      <c r="BB43" s="583"/>
      <c r="BC43" s="583"/>
      <c r="BD43" s="583"/>
      <c r="BE43" s="583"/>
      <c r="BF43" s="583"/>
      <c r="BG43" s="583"/>
      <c r="BH43" s="583"/>
      <c r="BI43" s="583"/>
      <c r="BJ43" s="583"/>
      <c r="BK43" s="583"/>
      <c r="BL43" s="583"/>
      <c r="BM43" s="583"/>
      <c r="BN43" s="583"/>
      <c r="BO43" s="583"/>
      <c r="BP43" s="583"/>
      <c r="BQ43" s="583"/>
      <c r="BR43" s="583"/>
      <c r="BS43" s="583"/>
      <c r="BT43" s="583"/>
      <c r="BU43" s="583"/>
      <c r="BV43" s="583"/>
      <c r="BW43" s="583"/>
      <c r="BX43" s="583"/>
      <c r="BY43" s="583"/>
      <c r="BZ43" s="583">
        <v>9</v>
      </c>
      <c r="CA43" s="583">
        <v>9</v>
      </c>
    </row>
    <row r="44" spans="1:79" x14ac:dyDescent="0.35">
      <c r="A44" s="42">
        <v>44404</v>
      </c>
      <c r="B44" s="583"/>
      <c r="C44" s="583"/>
      <c r="D44" s="583">
        <v>1</v>
      </c>
      <c r="E44" s="583">
        <v>1</v>
      </c>
      <c r="F44" s="583"/>
      <c r="G44" s="583"/>
      <c r="H44" s="583"/>
      <c r="I44" s="583"/>
      <c r="J44" s="583"/>
      <c r="K44" s="583"/>
      <c r="L44" s="583">
        <v>1</v>
      </c>
      <c r="M44" s="583">
        <v>1</v>
      </c>
      <c r="N44" s="583">
        <v>2</v>
      </c>
      <c r="O44" s="583">
        <v>2</v>
      </c>
      <c r="P44" s="583"/>
      <c r="Q44" s="583"/>
      <c r="R44" s="583"/>
      <c r="S44" s="583"/>
      <c r="T44" s="583"/>
      <c r="U44" s="583"/>
      <c r="V44" s="583"/>
      <c r="W44" s="583"/>
      <c r="X44" s="583"/>
      <c r="Y44" s="583"/>
      <c r="Z44" s="583"/>
      <c r="AA44" s="583"/>
      <c r="AB44" s="583"/>
      <c r="AC44" s="583"/>
      <c r="AD44" s="583"/>
      <c r="AE44" s="583"/>
      <c r="AF44" s="583"/>
      <c r="AG44" s="583"/>
      <c r="AH44" s="583"/>
      <c r="AI44" s="583"/>
      <c r="AJ44" s="583"/>
      <c r="AK44" s="583"/>
      <c r="AL44" s="583"/>
      <c r="AM44" s="583"/>
      <c r="AN44" s="583"/>
      <c r="AO44" s="583"/>
      <c r="AP44" s="583"/>
      <c r="AQ44" s="583"/>
      <c r="AR44" s="583"/>
      <c r="AS44" s="583"/>
      <c r="AT44" s="583"/>
      <c r="AU44" s="583"/>
      <c r="AV44" s="583"/>
      <c r="AW44" s="583"/>
      <c r="AX44" s="583"/>
      <c r="AY44" s="583"/>
      <c r="AZ44" s="583"/>
      <c r="BA44" s="583"/>
      <c r="BB44" s="583"/>
      <c r="BC44" s="583"/>
      <c r="BD44" s="583"/>
      <c r="BE44" s="583"/>
      <c r="BF44" s="583"/>
      <c r="BG44" s="583"/>
      <c r="BH44" s="583"/>
      <c r="BI44" s="583"/>
      <c r="BJ44" s="583"/>
      <c r="BK44" s="583"/>
      <c r="BL44" s="583"/>
      <c r="BM44" s="583"/>
      <c r="BN44" s="583"/>
      <c r="BO44" s="583"/>
      <c r="BP44" s="583"/>
      <c r="BQ44" s="583"/>
      <c r="BR44" s="583"/>
      <c r="BS44" s="583"/>
      <c r="BT44" s="583"/>
      <c r="BU44" s="583"/>
      <c r="BV44" s="583"/>
      <c r="BW44" s="583"/>
      <c r="BX44" s="583"/>
      <c r="BY44" s="583"/>
      <c r="BZ44" s="583">
        <v>4</v>
      </c>
      <c r="CA44" s="583">
        <v>4</v>
      </c>
    </row>
    <row r="45" spans="1:79" x14ac:dyDescent="0.35">
      <c r="A45" s="42">
        <v>44405</v>
      </c>
      <c r="B45" s="583"/>
      <c r="C45" s="583"/>
      <c r="D45" s="583"/>
      <c r="E45" s="583"/>
      <c r="F45" s="583"/>
      <c r="G45" s="583"/>
      <c r="H45" s="583"/>
      <c r="I45" s="583"/>
      <c r="J45" s="583"/>
      <c r="K45" s="583"/>
      <c r="L45" s="583"/>
      <c r="M45" s="583"/>
      <c r="N45" s="583"/>
      <c r="O45" s="583"/>
      <c r="P45" s="583">
        <v>6</v>
      </c>
      <c r="Q45" s="583">
        <v>6</v>
      </c>
      <c r="R45" s="583"/>
      <c r="S45" s="583"/>
      <c r="T45" s="583"/>
      <c r="U45" s="583"/>
      <c r="V45" s="583"/>
      <c r="W45" s="583"/>
      <c r="X45" s="583"/>
      <c r="Y45" s="583"/>
      <c r="Z45" s="583"/>
      <c r="AA45" s="583"/>
      <c r="AB45" s="583"/>
      <c r="AC45" s="583"/>
      <c r="AD45" s="583"/>
      <c r="AE45" s="583"/>
      <c r="AF45" s="583"/>
      <c r="AG45" s="583"/>
      <c r="AH45" s="583"/>
      <c r="AI45" s="583"/>
      <c r="AJ45" s="583"/>
      <c r="AK45" s="583"/>
      <c r="AL45" s="583"/>
      <c r="AM45" s="583"/>
      <c r="AN45" s="583"/>
      <c r="AO45" s="583"/>
      <c r="AP45" s="583"/>
      <c r="AQ45" s="583"/>
      <c r="AR45" s="583"/>
      <c r="AS45" s="583"/>
      <c r="AT45" s="583"/>
      <c r="AU45" s="583"/>
      <c r="AV45" s="583"/>
      <c r="AW45" s="583"/>
      <c r="AX45" s="583"/>
      <c r="AY45" s="583"/>
      <c r="AZ45" s="583"/>
      <c r="BA45" s="583"/>
      <c r="BB45" s="583"/>
      <c r="BC45" s="583"/>
      <c r="BD45" s="583"/>
      <c r="BE45" s="583"/>
      <c r="BF45" s="583"/>
      <c r="BG45" s="583"/>
      <c r="BH45" s="583"/>
      <c r="BI45" s="583"/>
      <c r="BJ45" s="583"/>
      <c r="BK45" s="583"/>
      <c r="BL45" s="583"/>
      <c r="BM45" s="583"/>
      <c r="BN45" s="583"/>
      <c r="BO45" s="583"/>
      <c r="BP45" s="583"/>
      <c r="BQ45" s="583"/>
      <c r="BR45" s="583"/>
      <c r="BS45" s="583"/>
      <c r="BT45" s="583"/>
      <c r="BU45" s="583"/>
      <c r="BV45" s="583"/>
      <c r="BW45" s="583"/>
      <c r="BX45" s="583"/>
      <c r="BY45" s="583"/>
      <c r="BZ45" s="583">
        <v>6</v>
      </c>
      <c r="CA45" s="583">
        <v>6</v>
      </c>
    </row>
    <row r="46" spans="1:79" x14ac:dyDescent="0.35">
      <c r="A46" s="42">
        <v>44431</v>
      </c>
      <c r="B46" s="583"/>
      <c r="C46" s="583"/>
      <c r="D46" s="583"/>
      <c r="E46" s="583"/>
      <c r="F46" s="583"/>
      <c r="G46" s="583"/>
      <c r="H46" s="583"/>
      <c r="I46" s="583"/>
      <c r="J46" s="583"/>
      <c r="K46" s="583"/>
      <c r="L46" s="583"/>
      <c r="M46" s="583"/>
      <c r="N46" s="583"/>
      <c r="O46" s="583"/>
      <c r="P46" s="583"/>
      <c r="Q46" s="583"/>
      <c r="R46" s="583"/>
      <c r="S46" s="583"/>
      <c r="T46" s="583">
        <v>2</v>
      </c>
      <c r="U46" s="583">
        <v>2</v>
      </c>
      <c r="V46" s="583"/>
      <c r="W46" s="583"/>
      <c r="X46" s="583"/>
      <c r="Y46" s="583"/>
      <c r="Z46" s="583"/>
      <c r="AA46" s="583"/>
      <c r="AB46" s="583"/>
      <c r="AC46" s="583"/>
      <c r="AD46" s="583"/>
      <c r="AE46" s="583"/>
      <c r="AF46" s="583"/>
      <c r="AG46" s="583"/>
      <c r="AH46" s="583"/>
      <c r="AI46" s="583"/>
      <c r="AJ46" s="583"/>
      <c r="AK46" s="583"/>
      <c r="AL46" s="583"/>
      <c r="AM46" s="583"/>
      <c r="AN46" s="583"/>
      <c r="AO46" s="583"/>
      <c r="AP46" s="583"/>
      <c r="AQ46" s="583"/>
      <c r="AR46" s="583"/>
      <c r="AS46" s="583"/>
      <c r="AT46" s="583"/>
      <c r="AU46" s="583"/>
      <c r="AV46" s="583"/>
      <c r="AW46" s="583"/>
      <c r="AX46" s="583"/>
      <c r="AY46" s="583"/>
      <c r="AZ46" s="583"/>
      <c r="BA46" s="583"/>
      <c r="BB46" s="583"/>
      <c r="BC46" s="583"/>
      <c r="BD46" s="583"/>
      <c r="BE46" s="583"/>
      <c r="BF46" s="583"/>
      <c r="BG46" s="583"/>
      <c r="BH46" s="583"/>
      <c r="BI46" s="583"/>
      <c r="BJ46" s="583"/>
      <c r="BK46" s="583"/>
      <c r="BL46" s="583"/>
      <c r="BM46" s="583"/>
      <c r="BN46" s="583"/>
      <c r="BO46" s="583"/>
      <c r="BP46" s="583"/>
      <c r="BQ46" s="583"/>
      <c r="BR46" s="583"/>
      <c r="BS46" s="583"/>
      <c r="BT46" s="583"/>
      <c r="BU46" s="583"/>
      <c r="BV46" s="583"/>
      <c r="BW46" s="583"/>
      <c r="BX46" s="583"/>
      <c r="BY46" s="583"/>
      <c r="BZ46" s="583">
        <v>2</v>
      </c>
      <c r="CA46" s="583">
        <v>2</v>
      </c>
    </row>
    <row r="47" spans="1:79" x14ac:dyDescent="0.35">
      <c r="A47" s="42">
        <v>44432</v>
      </c>
      <c r="B47" s="583"/>
      <c r="C47" s="583"/>
      <c r="D47" s="583"/>
      <c r="E47" s="583"/>
      <c r="F47" s="583"/>
      <c r="G47" s="583"/>
      <c r="H47" s="583"/>
      <c r="I47" s="583"/>
      <c r="J47" s="583"/>
      <c r="K47" s="583"/>
      <c r="L47" s="583"/>
      <c r="M47" s="583"/>
      <c r="N47" s="583"/>
      <c r="O47" s="583"/>
      <c r="P47" s="583"/>
      <c r="Q47" s="583"/>
      <c r="R47" s="583"/>
      <c r="S47" s="583"/>
      <c r="T47" s="583"/>
      <c r="U47" s="583"/>
      <c r="V47" s="583">
        <v>1</v>
      </c>
      <c r="W47" s="583">
        <v>1</v>
      </c>
      <c r="X47" s="583">
        <v>2</v>
      </c>
      <c r="Y47" s="583">
        <v>2</v>
      </c>
      <c r="Z47" s="583"/>
      <c r="AA47" s="583"/>
      <c r="AB47" s="583"/>
      <c r="AC47" s="583"/>
      <c r="AD47" s="583"/>
      <c r="AE47" s="583"/>
      <c r="AF47" s="583"/>
      <c r="AG47" s="583"/>
      <c r="AH47" s="583"/>
      <c r="AI47" s="583"/>
      <c r="AJ47" s="583"/>
      <c r="AK47" s="583"/>
      <c r="AL47" s="583"/>
      <c r="AM47" s="583"/>
      <c r="AN47" s="583"/>
      <c r="AO47" s="583"/>
      <c r="AP47" s="583"/>
      <c r="AQ47" s="583"/>
      <c r="AR47" s="583"/>
      <c r="AS47" s="583"/>
      <c r="AT47" s="583"/>
      <c r="AU47" s="583"/>
      <c r="AV47" s="583"/>
      <c r="AW47" s="583"/>
      <c r="AX47" s="583"/>
      <c r="AY47" s="583"/>
      <c r="AZ47" s="583"/>
      <c r="BA47" s="583"/>
      <c r="BB47" s="583"/>
      <c r="BC47" s="583"/>
      <c r="BD47" s="583"/>
      <c r="BE47" s="583"/>
      <c r="BF47" s="583"/>
      <c r="BG47" s="583"/>
      <c r="BH47" s="583"/>
      <c r="BI47" s="583"/>
      <c r="BJ47" s="583"/>
      <c r="BK47" s="583"/>
      <c r="BL47" s="583"/>
      <c r="BM47" s="583"/>
      <c r="BN47" s="583"/>
      <c r="BO47" s="583"/>
      <c r="BP47" s="583"/>
      <c r="BQ47" s="583"/>
      <c r="BR47" s="583">
        <v>1</v>
      </c>
      <c r="BS47" s="583">
        <v>1</v>
      </c>
      <c r="BT47" s="583">
        <v>2</v>
      </c>
      <c r="BU47" s="583"/>
      <c r="BV47" s="583"/>
      <c r="BW47" s="583"/>
      <c r="BX47" s="583"/>
      <c r="BY47" s="583"/>
      <c r="BZ47" s="583">
        <v>6</v>
      </c>
      <c r="CA47" s="583">
        <v>4</v>
      </c>
    </row>
    <row r="48" spans="1:79" x14ac:dyDescent="0.35">
      <c r="A48" s="42">
        <v>44433</v>
      </c>
      <c r="B48" s="583"/>
      <c r="C48" s="583"/>
      <c r="D48" s="583"/>
      <c r="E48" s="583"/>
      <c r="F48" s="583"/>
      <c r="G48" s="583"/>
      <c r="H48" s="583"/>
      <c r="I48" s="583"/>
      <c r="J48" s="583"/>
      <c r="K48" s="583"/>
      <c r="L48" s="583"/>
      <c r="M48" s="583"/>
      <c r="N48" s="583"/>
      <c r="O48" s="583"/>
      <c r="P48" s="583"/>
      <c r="Q48" s="583"/>
      <c r="R48" s="583"/>
      <c r="S48" s="583"/>
      <c r="T48" s="583"/>
      <c r="U48" s="583"/>
      <c r="V48" s="583"/>
      <c r="W48" s="583"/>
      <c r="X48" s="583"/>
      <c r="Y48" s="583"/>
      <c r="Z48" s="583"/>
      <c r="AA48" s="583"/>
      <c r="AB48" s="583"/>
      <c r="AC48" s="583"/>
      <c r="AD48" s="583"/>
      <c r="AE48" s="583"/>
      <c r="AF48" s="583"/>
      <c r="AG48" s="583"/>
      <c r="AH48" s="583"/>
      <c r="AI48" s="583"/>
      <c r="AJ48" s="583"/>
      <c r="AK48" s="583"/>
      <c r="AL48" s="583"/>
      <c r="AM48" s="583"/>
      <c r="AN48" s="583"/>
      <c r="AO48" s="583"/>
      <c r="AP48" s="583"/>
      <c r="AQ48" s="583"/>
      <c r="AR48" s="583"/>
      <c r="AS48" s="583"/>
      <c r="AT48" s="583"/>
      <c r="AU48" s="583"/>
      <c r="AV48" s="583"/>
      <c r="AW48" s="583"/>
      <c r="AX48" s="583"/>
      <c r="AY48" s="583"/>
      <c r="AZ48" s="583"/>
      <c r="BA48" s="583"/>
      <c r="BB48" s="583"/>
      <c r="BC48" s="583"/>
      <c r="BD48" s="583"/>
      <c r="BE48" s="583"/>
      <c r="BF48" s="583"/>
      <c r="BG48" s="583"/>
      <c r="BH48" s="583"/>
      <c r="BI48" s="583"/>
      <c r="BJ48" s="583"/>
      <c r="BK48" s="583"/>
      <c r="BL48" s="583"/>
      <c r="BM48" s="583"/>
      <c r="BN48" s="583"/>
      <c r="BO48" s="583"/>
      <c r="BP48" s="583"/>
      <c r="BQ48" s="583"/>
      <c r="BR48" s="583"/>
      <c r="BS48" s="583"/>
      <c r="BT48" s="583">
        <v>1</v>
      </c>
      <c r="BU48" s="583"/>
      <c r="BV48" s="583">
        <v>1</v>
      </c>
      <c r="BW48" s="583">
        <v>1</v>
      </c>
      <c r="BX48" s="583"/>
      <c r="BY48" s="583"/>
      <c r="BZ48" s="583">
        <v>2</v>
      </c>
      <c r="CA48" s="583">
        <v>1</v>
      </c>
    </row>
    <row r="49" spans="1:79" x14ac:dyDescent="0.35">
      <c r="A49" s="42">
        <v>44438</v>
      </c>
      <c r="B49" s="583"/>
      <c r="C49" s="583"/>
      <c r="D49" s="583"/>
      <c r="E49" s="583"/>
      <c r="F49" s="583"/>
      <c r="G49" s="583"/>
      <c r="H49" s="583"/>
      <c r="I49" s="583"/>
      <c r="J49" s="583"/>
      <c r="K49" s="583"/>
      <c r="L49" s="583"/>
      <c r="M49" s="583"/>
      <c r="N49" s="583"/>
      <c r="O49" s="583"/>
      <c r="P49" s="583"/>
      <c r="Q49" s="583"/>
      <c r="R49" s="583"/>
      <c r="S49" s="583"/>
      <c r="T49" s="583"/>
      <c r="U49" s="583"/>
      <c r="V49" s="583"/>
      <c r="W49" s="583"/>
      <c r="X49" s="583"/>
      <c r="Y49" s="583"/>
      <c r="Z49" s="583">
        <v>3</v>
      </c>
      <c r="AA49" s="583">
        <v>3</v>
      </c>
      <c r="AB49" s="583">
        <v>1</v>
      </c>
      <c r="AC49" s="583">
        <v>1</v>
      </c>
      <c r="AD49" s="583"/>
      <c r="AE49" s="583"/>
      <c r="AF49" s="583"/>
      <c r="AG49" s="583"/>
      <c r="AH49" s="583"/>
      <c r="AI49" s="583"/>
      <c r="AJ49" s="583"/>
      <c r="AK49" s="583"/>
      <c r="AL49" s="583"/>
      <c r="AM49" s="583"/>
      <c r="AN49" s="583"/>
      <c r="AO49" s="583"/>
      <c r="AP49" s="583"/>
      <c r="AQ49" s="583"/>
      <c r="AR49" s="583"/>
      <c r="AS49" s="583"/>
      <c r="AT49" s="583"/>
      <c r="AU49" s="583"/>
      <c r="AV49" s="583"/>
      <c r="AW49" s="583"/>
      <c r="AX49" s="583"/>
      <c r="AY49" s="583"/>
      <c r="AZ49" s="583"/>
      <c r="BA49" s="583"/>
      <c r="BB49" s="583"/>
      <c r="BC49" s="583"/>
      <c r="BD49" s="583"/>
      <c r="BE49" s="583"/>
      <c r="BF49" s="583"/>
      <c r="BG49" s="583"/>
      <c r="BH49" s="583"/>
      <c r="BI49" s="583"/>
      <c r="BJ49" s="583"/>
      <c r="BK49" s="583"/>
      <c r="BL49" s="583"/>
      <c r="BM49" s="583"/>
      <c r="BN49" s="583"/>
      <c r="BO49" s="583"/>
      <c r="BP49" s="583"/>
      <c r="BQ49" s="583"/>
      <c r="BR49" s="583"/>
      <c r="BS49" s="583"/>
      <c r="BT49" s="583"/>
      <c r="BU49" s="583"/>
      <c r="BV49" s="583"/>
      <c r="BW49" s="583"/>
      <c r="BX49" s="583"/>
      <c r="BY49" s="583"/>
      <c r="BZ49" s="583">
        <v>4</v>
      </c>
      <c r="CA49" s="583">
        <v>4</v>
      </c>
    </row>
    <row r="50" spans="1:79" x14ac:dyDescent="0.35">
      <c r="A50" s="42">
        <v>44439</v>
      </c>
      <c r="B50" s="583"/>
      <c r="C50" s="583"/>
      <c r="D50" s="583"/>
      <c r="E50" s="583"/>
      <c r="F50" s="583"/>
      <c r="G50" s="583"/>
      <c r="H50" s="583"/>
      <c r="I50" s="583"/>
      <c r="J50" s="583"/>
      <c r="K50" s="583"/>
      <c r="L50" s="583"/>
      <c r="M50" s="583"/>
      <c r="N50" s="583"/>
      <c r="O50" s="583"/>
      <c r="P50" s="583"/>
      <c r="Q50" s="583"/>
      <c r="R50" s="583"/>
      <c r="S50" s="583"/>
      <c r="T50" s="583"/>
      <c r="U50" s="583"/>
      <c r="V50" s="583"/>
      <c r="W50" s="583"/>
      <c r="X50" s="583"/>
      <c r="Y50" s="583"/>
      <c r="Z50" s="583">
        <v>1</v>
      </c>
      <c r="AA50" s="583">
        <v>1</v>
      </c>
      <c r="AB50" s="583">
        <v>1</v>
      </c>
      <c r="AC50" s="583">
        <v>1</v>
      </c>
      <c r="AD50" s="583"/>
      <c r="AE50" s="583"/>
      <c r="AF50" s="583"/>
      <c r="AG50" s="583"/>
      <c r="AH50" s="583"/>
      <c r="AI50" s="583"/>
      <c r="AJ50" s="583"/>
      <c r="AK50" s="583"/>
      <c r="AL50" s="583"/>
      <c r="AM50" s="583"/>
      <c r="AN50" s="583"/>
      <c r="AO50" s="583"/>
      <c r="AP50" s="583"/>
      <c r="AQ50" s="583"/>
      <c r="AR50" s="583"/>
      <c r="AS50" s="583"/>
      <c r="AT50" s="583"/>
      <c r="AU50" s="583"/>
      <c r="AV50" s="583"/>
      <c r="AW50" s="583"/>
      <c r="AX50" s="583"/>
      <c r="AY50" s="583"/>
      <c r="AZ50" s="583"/>
      <c r="BA50" s="583"/>
      <c r="BB50" s="583"/>
      <c r="BC50" s="583"/>
      <c r="BD50" s="583"/>
      <c r="BE50" s="583"/>
      <c r="BF50" s="583"/>
      <c r="BG50" s="583"/>
      <c r="BH50" s="583"/>
      <c r="BI50" s="583"/>
      <c r="BJ50" s="583"/>
      <c r="BK50" s="583"/>
      <c r="BL50" s="583"/>
      <c r="BM50" s="583"/>
      <c r="BN50" s="583"/>
      <c r="BO50" s="583"/>
      <c r="BP50" s="583"/>
      <c r="BQ50" s="583"/>
      <c r="BR50" s="583"/>
      <c r="BS50" s="583"/>
      <c r="BT50" s="583"/>
      <c r="BU50" s="583"/>
      <c r="BV50" s="583"/>
      <c r="BW50" s="583"/>
      <c r="BX50" s="583"/>
      <c r="BY50" s="583"/>
      <c r="BZ50" s="583">
        <v>2</v>
      </c>
      <c r="CA50" s="583">
        <v>2</v>
      </c>
    </row>
    <row r="51" spans="1:79" x14ac:dyDescent="0.35">
      <c r="A51" s="42">
        <v>44452</v>
      </c>
      <c r="B51" s="583"/>
      <c r="C51" s="583"/>
      <c r="D51" s="583"/>
      <c r="E51" s="583"/>
      <c r="F51" s="583"/>
      <c r="G51" s="583"/>
      <c r="H51" s="583"/>
      <c r="I51" s="583"/>
      <c r="J51" s="583"/>
      <c r="K51" s="583"/>
      <c r="L51" s="583"/>
      <c r="M51" s="583"/>
      <c r="N51" s="583"/>
      <c r="O51" s="583"/>
      <c r="P51" s="583"/>
      <c r="Q51" s="583"/>
      <c r="R51" s="583"/>
      <c r="S51" s="583"/>
      <c r="T51" s="583"/>
      <c r="U51" s="583"/>
      <c r="V51" s="583"/>
      <c r="W51" s="583"/>
      <c r="X51" s="583"/>
      <c r="Y51" s="583"/>
      <c r="Z51" s="583"/>
      <c r="AA51" s="583"/>
      <c r="AB51" s="583">
        <v>2</v>
      </c>
      <c r="AC51" s="583">
        <v>1</v>
      </c>
      <c r="AD51" s="583"/>
      <c r="AE51" s="583"/>
      <c r="AF51" s="583"/>
      <c r="AG51" s="583"/>
      <c r="AH51" s="583"/>
      <c r="AI51" s="583"/>
      <c r="AJ51" s="583"/>
      <c r="AK51" s="583"/>
      <c r="AL51" s="583"/>
      <c r="AM51" s="583"/>
      <c r="AN51" s="583"/>
      <c r="AO51" s="583"/>
      <c r="AP51" s="583"/>
      <c r="AQ51" s="583"/>
      <c r="AR51" s="583"/>
      <c r="AS51" s="583"/>
      <c r="AT51" s="583"/>
      <c r="AU51" s="583"/>
      <c r="AV51" s="583"/>
      <c r="AW51" s="583"/>
      <c r="AX51" s="583"/>
      <c r="AY51" s="583"/>
      <c r="AZ51" s="583"/>
      <c r="BA51" s="583"/>
      <c r="BB51" s="583"/>
      <c r="BC51" s="583"/>
      <c r="BD51" s="583"/>
      <c r="BE51" s="583"/>
      <c r="BF51" s="583"/>
      <c r="BG51" s="583"/>
      <c r="BH51" s="583"/>
      <c r="BI51" s="583"/>
      <c r="BJ51" s="583"/>
      <c r="BK51" s="583"/>
      <c r="BL51" s="583"/>
      <c r="BM51" s="583"/>
      <c r="BN51" s="583"/>
      <c r="BO51" s="583"/>
      <c r="BP51" s="583"/>
      <c r="BQ51" s="583"/>
      <c r="BR51" s="583"/>
      <c r="BS51" s="583"/>
      <c r="BT51" s="583"/>
      <c r="BU51" s="583"/>
      <c r="BV51" s="583"/>
      <c r="BW51" s="583"/>
      <c r="BX51" s="583"/>
      <c r="BY51" s="583"/>
      <c r="BZ51" s="583">
        <v>2</v>
      </c>
      <c r="CA51" s="583">
        <v>1</v>
      </c>
    </row>
    <row r="52" spans="1:79" x14ac:dyDescent="0.35">
      <c r="A52" s="42">
        <v>44455</v>
      </c>
      <c r="B52" s="583"/>
      <c r="C52" s="583"/>
      <c r="D52" s="583"/>
      <c r="E52" s="583"/>
      <c r="F52" s="583"/>
      <c r="G52" s="583"/>
      <c r="H52" s="583"/>
      <c r="I52" s="583"/>
      <c r="J52" s="583"/>
      <c r="K52" s="583"/>
      <c r="L52" s="583"/>
      <c r="M52" s="583"/>
      <c r="N52" s="583"/>
      <c r="O52" s="583"/>
      <c r="P52" s="583"/>
      <c r="Q52" s="583"/>
      <c r="R52" s="583"/>
      <c r="S52" s="583"/>
      <c r="T52" s="583"/>
      <c r="U52" s="583"/>
      <c r="V52" s="583"/>
      <c r="W52" s="583"/>
      <c r="X52" s="583"/>
      <c r="Y52" s="583"/>
      <c r="Z52" s="583"/>
      <c r="AA52" s="583"/>
      <c r="AB52" s="583"/>
      <c r="AC52" s="583"/>
      <c r="AD52" s="583">
        <v>3</v>
      </c>
      <c r="AE52" s="583">
        <v>2</v>
      </c>
      <c r="AF52" s="583">
        <v>1</v>
      </c>
      <c r="AG52" s="583">
        <v>1</v>
      </c>
      <c r="AH52" s="583"/>
      <c r="AI52" s="583"/>
      <c r="AJ52" s="583"/>
      <c r="AK52" s="583"/>
      <c r="AL52" s="583"/>
      <c r="AM52" s="583"/>
      <c r="AN52" s="583"/>
      <c r="AO52" s="583"/>
      <c r="AP52" s="583"/>
      <c r="AQ52" s="583"/>
      <c r="AR52" s="583"/>
      <c r="AS52" s="583"/>
      <c r="AT52" s="583"/>
      <c r="AU52" s="583"/>
      <c r="AV52" s="583"/>
      <c r="AW52" s="583"/>
      <c r="AX52" s="583"/>
      <c r="AY52" s="583"/>
      <c r="AZ52" s="583"/>
      <c r="BA52" s="583"/>
      <c r="BB52" s="583"/>
      <c r="BC52" s="583"/>
      <c r="BD52" s="583"/>
      <c r="BE52" s="583"/>
      <c r="BF52" s="583"/>
      <c r="BG52" s="583"/>
      <c r="BH52" s="583"/>
      <c r="BI52" s="583"/>
      <c r="BJ52" s="583"/>
      <c r="BK52" s="583"/>
      <c r="BL52" s="583"/>
      <c r="BM52" s="583"/>
      <c r="BN52" s="583"/>
      <c r="BO52" s="583"/>
      <c r="BP52" s="583"/>
      <c r="BQ52" s="583"/>
      <c r="BR52" s="583"/>
      <c r="BS52" s="583"/>
      <c r="BT52" s="583"/>
      <c r="BU52" s="583"/>
      <c r="BV52" s="583"/>
      <c r="BW52" s="583"/>
      <c r="BX52" s="583"/>
      <c r="BY52" s="583"/>
      <c r="BZ52" s="583">
        <v>4</v>
      </c>
      <c r="CA52" s="583">
        <v>3</v>
      </c>
    </row>
    <row r="53" spans="1:79" x14ac:dyDescent="0.35">
      <c r="A53" s="42">
        <v>44462</v>
      </c>
      <c r="B53" s="583"/>
      <c r="C53" s="583"/>
      <c r="D53" s="583"/>
      <c r="E53" s="583"/>
      <c r="F53" s="583"/>
      <c r="G53" s="583"/>
      <c r="H53" s="583"/>
      <c r="I53" s="583"/>
      <c r="J53" s="583"/>
      <c r="K53" s="583"/>
      <c r="L53" s="583"/>
      <c r="M53" s="583"/>
      <c r="N53" s="583"/>
      <c r="O53" s="583"/>
      <c r="P53" s="583"/>
      <c r="Q53" s="583"/>
      <c r="R53" s="583"/>
      <c r="S53" s="583"/>
      <c r="T53" s="583"/>
      <c r="U53" s="583"/>
      <c r="V53" s="583"/>
      <c r="W53" s="583"/>
      <c r="X53" s="583"/>
      <c r="Y53" s="583"/>
      <c r="Z53" s="583"/>
      <c r="AA53" s="583"/>
      <c r="AB53" s="583"/>
      <c r="AC53" s="583"/>
      <c r="AD53" s="583"/>
      <c r="AE53" s="583"/>
      <c r="AF53" s="583"/>
      <c r="AG53" s="583"/>
      <c r="AH53" s="583">
        <v>1</v>
      </c>
      <c r="AI53" s="583">
        <v>1</v>
      </c>
      <c r="AJ53" s="583"/>
      <c r="AK53" s="583"/>
      <c r="AL53" s="583"/>
      <c r="AM53" s="583"/>
      <c r="AN53" s="583"/>
      <c r="AO53" s="583"/>
      <c r="AP53" s="583"/>
      <c r="AQ53" s="583"/>
      <c r="AR53" s="583"/>
      <c r="AS53" s="583"/>
      <c r="AT53" s="583"/>
      <c r="AU53" s="583"/>
      <c r="AV53" s="583"/>
      <c r="AW53" s="583"/>
      <c r="AX53" s="583"/>
      <c r="AY53" s="583"/>
      <c r="AZ53" s="583"/>
      <c r="BA53" s="583"/>
      <c r="BB53" s="583"/>
      <c r="BC53" s="583"/>
      <c r="BD53" s="583"/>
      <c r="BE53" s="583"/>
      <c r="BF53" s="583"/>
      <c r="BG53" s="583"/>
      <c r="BH53" s="583"/>
      <c r="BI53" s="583"/>
      <c r="BJ53" s="583"/>
      <c r="BK53" s="583"/>
      <c r="BL53" s="583"/>
      <c r="BM53" s="583"/>
      <c r="BN53" s="583"/>
      <c r="BO53" s="583"/>
      <c r="BP53" s="583"/>
      <c r="BQ53" s="583"/>
      <c r="BR53" s="583"/>
      <c r="BS53" s="583"/>
      <c r="BT53" s="583"/>
      <c r="BU53" s="583"/>
      <c r="BV53" s="583"/>
      <c r="BW53" s="583"/>
      <c r="BX53" s="583"/>
      <c r="BY53" s="583"/>
      <c r="BZ53" s="583">
        <v>1</v>
      </c>
      <c r="CA53" s="583">
        <v>1</v>
      </c>
    </row>
    <row r="54" spans="1:79" x14ac:dyDescent="0.35">
      <c r="A54" s="42">
        <v>44463</v>
      </c>
      <c r="B54" s="583"/>
      <c r="C54" s="583"/>
      <c r="D54" s="583"/>
      <c r="E54" s="583"/>
      <c r="F54" s="583"/>
      <c r="G54" s="583"/>
      <c r="H54" s="583"/>
      <c r="I54" s="583"/>
      <c r="J54" s="583"/>
      <c r="K54" s="583"/>
      <c r="L54" s="583"/>
      <c r="M54" s="583"/>
      <c r="N54" s="583"/>
      <c r="O54" s="583"/>
      <c r="P54" s="583"/>
      <c r="Q54" s="583"/>
      <c r="R54" s="583"/>
      <c r="S54" s="583"/>
      <c r="T54" s="583"/>
      <c r="U54" s="583"/>
      <c r="V54" s="583"/>
      <c r="W54" s="583"/>
      <c r="X54" s="583"/>
      <c r="Y54" s="583"/>
      <c r="Z54" s="583"/>
      <c r="AA54" s="583"/>
      <c r="AB54" s="583">
        <v>2</v>
      </c>
      <c r="AC54" s="583">
        <v>2</v>
      </c>
      <c r="AD54" s="583"/>
      <c r="AE54" s="583"/>
      <c r="AF54" s="583"/>
      <c r="AG54" s="583"/>
      <c r="AH54" s="583"/>
      <c r="AI54" s="583"/>
      <c r="AJ54" s="583"/>
      <c r="AK54" s="583"/>
      <c r="AL54" s="583"/>
      <c r="AM54" s="583"/>
      <c r="AN54" s="583"/>
      <c r="AO54" s="583"/>
      <c r="AP54" s="583"/>
      <c r="AQ54" s="583"/>
      <c r="AR54" s="583"/>
      <c r="AS54" s="583"/>
      <c r="AT54" s="583"/>
      <c r="AU54" s="583"/>
      <c r="AV54" s="583"/>
      <c r="AW54" s="583"/>
      <c r="AX54" s="583"/>
      <c r="AY54" s="583"/>
      <c r="AZ54" s="583"/>
      <c r="BA54" s="583"/>
      <c r="BB54" s="583"/>
      <c r="BC54" s="583"/>
      <c r="BD54" s="583"/>
      <c r="BE54" s="583"/>
      <c r="BF54" s="583"/>
      <c r="BG54" s="583"/>
      <c r="BH54" s="583"/>
      <c r="BI54" s="583"/>
      <c r="BJ54" s="583"/>
      <c r="BK54" s="583"/>
      <c r="BL54" s="583"/>
      <c r="BM54" s="583"/>
      <c r="BN54" s="583"/>
      <c r="BO54" s="583"/>
      <c r="BP54" s="583"/>
      <c r="BQ54" s="583"/>
      <c r="BR54" s="583"/>
      <c r="BS54" s="583"/>
      <c r="BT54" s="583"/>
      <c r="BU54" s="583"/>
      <c r="BV54" s="583"/>
      <c r="BW54" s="583"/>
      <c r="BX54" s="583"/>
      <c r="BY54" s="583"/>
      <c r="BZ54" s="583">
        <v>2</v>
      </c>
      <c r="CA54" s="583">
        <v>2</v>
      </c>
    </row>
    <row r="55" spans="1:79" x14ac:dyDescent="0.35">
      <c r="A55" s="42">
        <v>44467</v>
      </c>
      <c r="B55" s="583"/>
      <c r="C55" s="583"/>
      <c r="D55" s="583"/>
      <c r="E55" s="583"/>
      <c r="F55" s="583"/>
      <c r="G55" s="583"/>
      <c r="H55" s="583"/>
      <c r="I55" s="583"/>
      <c r="J55" s="583"/>
      <c r="K55" s="583"/>
      <c r="L55" s="583"/>
      <c r="M55" s="583"/>
      <c r="N55" s="583"/>
      <c r="O55" s="583"/>
      <c r="P55" s="583"/>
      <c r="Q55" s="583"/>
      <c r="R55" s="583"/>
      <c r="S55" s="583"/>
      <c r="T55" s="583"/>
      <c r="U55" s="583"/>
      <c r="V55" s="583"/>
      <c r="W55" s="583"/>
      <c r="X55" s="583"/>
      <c r="Y55" s="583"/>
      <c r="Z55" s="583"/>
      <c r="AA55" s="583"/>
      <c r="AB55" s="583"/>
      <c r="AC55" s="583"/>
      <c r="AD55" s="583"/>
      <c r="AE55" s="583"/>
      <c r="AF55" s="583"/>
      <c r="AG55" s="583"/>
      <c r="AH55" s="583"/>
      <c r="AI55" s="583"/>
      <c r="AJ55" s="583">
        <v>1</v>
      </c>
      <c r="AK55" s="583">
        <v>1</v>
      </c>
      <c r="AL55" s="583"/>
      <c r="AM55" s="583"/>
      <c r="AN55" s="583"/>
      <c r="AO55" s="583"/>
      <c r="AP55" s="583"/>
      <c r="AQ55" s="583"/>
      <c r="AR55" s="583"/>
      <c r="AS55" s="583"/>
      <c r="AT55" s="583"/>
      <c r="AU55" s="583"/>
      <c r="AV55" s="583"/>
      <c r="AW55" s="583"/>
      <c r="AX55" s="583"/>
      <c r="AY55" s="583"/>
      <c r="AZ55" s="583"/>
      <c r="BA55" s="583"/>
      <c r="BB55" s="583"/>
      <c r="BC55" s="583"/>
      <c r="BD55" s="583"/>
      <c r="BE55" s="583"/>
      <c r="BF55" s="583"/>
      <c r="BG55" s="583"/>
      <c r="BH55" s="583"/>
      <c r="BI55" s="583"/>
      <c r="BJ55" s="583"/>
      <c r="BK55" s="583"/>
      <c r="BL55" s="583"/>
      <c r="BM55" s="583"/>
      <c r="BN55" s="583"/>
      <c r="BO55" s="583"/>
      <c r="BP55" s="583"/>
      <c r="BQ55" s="583"/>
      <c r="BR55" s="583"/>
      <c r="BS55" s="583"/>
      <c r="BT55" s="583"/>
      <c r="BU55" s="583"/>
      <c r="BV55" s="583"/>
      <c r="BW55" s="583"/>
      <c r="BX55" s="583"/>
      <c r="BY55" s="583"/>
      <c r="BZ55" s="583">
        <v>1</v>
      </c>
      <c r="CA55" s="583">
        <v>1</v>
      </c>
    </row>
    <row r="56" spans="1:79" x14ac:dyDescent="0.35">
      <c r="A56" s="42">
        <v>44468</v>
      </c>
      <c r="B56" s="583"/>
      <c r="C56" s="583"/>
      <c r="D56" s="583"/>
      <c r="E56" s="583"/>
      <c r="F56" s="583"/>
      <c r="G56" s="583"/>
      <c r="H56" s="583"/>
      <c r="I56" s="583"/>
      <c r="J56" s="583"/>
      <c r="K56" s="583"/>
      <c r="L56" s="583"/>
      <c r="M56" s="583"/>
      <c r="N56" s="583"/>
      <c r="O56" s="583"/>
      <c r="P56" s="583"/>
      <c r="Q56" s="583"/>
      <c r="R56" s="583"/>
      <c r="S56" s="583"/>
      <c r="T56" s="583"/>
      <c r="U56" s="583"/>
      <c r="V56" s="583"/>
      <c r="W56" s="583"/>
      <c r="X56" s="583"/>
      <c r="Y56" s="583"/>
      <c r="Z56" s="583"/>
      <c r="AA56" s="583"/>
      <c r="AB56" s="583"/>
      <c r="AC56" s="583"/>
      <c r="AD56" s="583"/>
      <c r="AE56" s="583"/>
      <c r="AF56" s="583"/>
      <c r="AG56" s="583"/>
      <c r="AH56" s="583"/>
      <c r="AI56" s="583"/>
      <c r="AJ56" s="583"/>
      <c r="AK56" s="583"/>
      <c r="AL56" s="583">
        <v>1</v>
      </c>
      <c r="AM56" s="583"/>
      <c r="AN56" s="583"/>
      <c r="AO56" s="583"/>
      <c r="AP56" s="583"/>
      <c r="AQ56" s="583"/>
      <c r="AR56" s="583"/>
      <c r="AS56" s="583"/>
      <c r="AT56" s="583"/>
      <c r="AU56" s="583"/>
      <c r="AV56" s="583"/>
      <c r="AW56" s="583"/>
      <c r="AX56" s="583"/>
      <c r="AY56" s="583"/>
      <c r="AZ56" s="583"/>
      <c r="BA56" s="583"/>
      <c r="BB56" s="583"/>
      <c r="BC56" s="583"/>
      <c r="BD56" s="583"/>
      <c r="BE56" s="583"/>
      <c r="BF56" s="583"/>
      <c r="BG56" s="583"/>
      <c r="BH56" s="583"/>
      <c r="BI56" s="583"/>
      <c r="BJ56" s="583"/>
      <c r="BK56" s="583"/>
      <c r="BL56" s="583"/>
      <c r="BM56" s="583"/>
      <c r="BN56" s="583"/>
      <c r="BO56" s="583"/>
      <c r="BP56" s="583"/>
      <c r="BQ56" s="583"/>
      <c r="BR56" s="583"/>
      <c r="BS56" s="583"/>
      <c r="BT56" s="583"/>
      <c r="BU56" s="583"/>
      <c r="BV56" s="583"/>
      <c r="BW56" s="583"/>
      <c r="BX56" s="583"/>
      <c r="BY56" s="583"/>
      <c r="BZ56" s="583">
        <v>1</v>
      </c>
      <c r="CA56" s="583"/>
    </row>
    <row r="57" spans="1:79" x14ac:dyDescent="0.35">
      <c r="A57" s="42">
        <v>44481</v>
      </c>
      <c r="B57" s="583"/>
      <c r="C57" s="583"/>
      <c r="D57" s="583"/>
      <c r="E57" s="583"/>
      <c r="F57" s="583"/>
      <c r="G57" s="583"/>
      <c r="H57" s="583"/>
      <c r="I57" s="583"/>
      <c r="J57" s="583"/>
      <c r="K57" s="583"/>
      <c r="L57" s="583"/>
      <c r="M57" s="583"/>
      <c r="N57" s="583"/>
      <c r="O57" s="583"/>
      <c r="P57" s="583"/>
      <c r="Q57" s="583"/>
      <c r="R57" s="583"/>
      <c r="S57" s="583"/>
      <c r="T57" s="583"/>
      <c r="U57" s="583"/>
      <c r="V57" s="583"/>
      <c r="W57" s="583"/>
      <c r="X57" s="583"/>
      <c r="Y57" s="583"/>
      <c r="Z57" s="583"/>
      <c r="AA57" s="583"/>
      <c r="AB57" s="583"/>
      <c r="AC57" s="583"/>
      <c r="AD57" s="583"/>
      <c r="AE57" s="583"/>
      <c r="AF57" s="583"/>
      <c r="AG57" s="583"/>
      <c r="AH57" s="583"/>
      <c r="AI57" s="583"/>
      <c r="AJ57" s="583"/>
      <c r="AK57" s="583"/>
      <c r="AL57" s="583"/>
      <c r="AM57" s="583"/>
      <c r="AN57" s="583">
        <v>1</v>
      </c>
      <c r="AO57" s="583">
        <v>1</v>
      </c>
      <c r="AP57" s="583"/>
      <c r="AQ57" s="583"/>
      <c r="AR57" s="583"/>
      <c r="AS57" s="583"/>
      <c r="AT57" s="583"/>
      <c r="AU57" s="583"/>
      <c r="AV57" s="583"/>
      <c r="AW57" s="583"/>
      <c r="AX57" s="583"/>
      <c r="AY57" s="583"/>
      <c r="AZ57" s="583"/>
      <c r="BA57" s="583"/>
      <c r="BB57" s="583"/>
      <c r="BC57" s="583"/>
      <c r="BD57" s="583"/>
      <c r="BE57" s="583"/>
      <c r="BF57" s="583"/>
      <c r="BG57" s="583"/>
      <c r="BH57" s="583"/>
      <c r="BI57" s="583"/>
      <c r="BJ57" s="583"/>
      <c r="BK57" s="583"/>
      <c r="BL57" s="583"/>
      <c r="BM57" s="583"/>
      <c r="BN57" s="583"/>
      <c r="BO57" s="583"/>
      <c r="BP57" s="583"/>
      <c r="BQ57" s="583"/>
      <c r="BR57" s="583"/>
      <c r="BS57" s="583"/>
      <c r="BT57" s="583"/>
      <c r="BU57" s="583"/>
      <c r="BV57" s="583"/>
      <c r="BW57" s="583"/>
      <c r="BX57" s="583"/>
      <c r="BY57" s="583"/>
      <c r="BZ57" s="583">
        <v>1</v>
      </c>
      <c r="CA57" s="583">
        <v>1</v>
      </c>
    </row>
    <row r="58" spans="1:79" x14ac:dyDescent="0.35">
      <c r="A58" s="42">
        <v>44484</v>
      </c>
      <c r="B58" s="583"/>
      <c r="C58" s="583"/>
      <c r="D58" s="583"/>
      <c r="E58" s="583"/>
      <c r="F58" s="583"/>
      <c r="G58" s="583"/>
      <c r="H58" s="583"/>
      <c r="I58" s="583"/>
      <c r="J58" s="583"/>
      <c r="K58" s="583"/>
      <c r="L58" s="583"/>
      <c r="M58" s="583"/>
      <c r="N58" s="583"/>
      <c r="O58" s="583"/>
      <c r="P58" s="583"/>
      <c r="Q58" s="583"/>
      <c r="R58" s="583"/>
      <c r="S58" s="583"/>
      <c r="T58" s="583"/>
      <c r="U58" s="583"/>
      <c r="V58" s="583"/>
      <c r="W58" s="583"/>
      <c r="X58" s="583"/>
      <c r="Y58" s="583"/>
      <c r="Z58" s="583"/>
      <c r="AA58" s="583"/>
      <c r="AB58" s="583"/>
      <c r="AC58" s="583"/>
      <c r="AD58" s="583"/>
      <c r="AE58" s="583"/>
      <c r="AF58" s="583"/>
      <c r="AG58" s="583"/>
      <c r="AH58" s="583"/>
      <c r="AI58" s="583"/>
      <c r="AJ58" s="583"/>
      <c r="AK58" s="583"/>
      <c r="AL58" s="583"/>
      <c r="AM58" s="583"/>
      <c r="AN58" s="583"/>
      <c r="AO58" s="583"/>
      <c r="AP58" s="583">
        <v>1</v>
      </c>
      <c r="AQ58" s="583">
        <v>1</v>
      </c>
      <c r="AR58" s="583"/>
      <c r="AS58" s="583"/>
      <c r="AT58" s="583"/>
      <c r="AU58" s="583"/>
      <c r="AV58" s="583"/>
      <c r="AW58" s="583"/>
      <c r="AX58" s="583"/>
      <c r="AY58" s="583"/>
      <c r="AZ58" s="583"/>
      <c r="BA58" s="583"/>
      <c r="BB58" s="583"/>
      <c r="BC58" s="583"/>
      <c r="BD58" s="583"/>
      <c r="BE58" s="583"/>
      <c r="BF58" s="583"/>
      <c r="BG58" s="583"/>
      <c r="BH58" s="583"/>
      <c r="BI58" s="583"/>
      <c r="BJ58" s="583"/>
      <c r="BK58" s="583"/>
      <c r="BL58" s="583"/>
      <c r="BM58" s="583"/>
      <c r="BN58" s="583"/>
      <c r="BO58" s="583"/>
      <c r="BP58" s="583"/>
      <c r="BQ58" s="583"/>
      <c r="BR58" s="583"/>
      <c r="BS58" s="583"/>
      <c r="BT58" s="583"/>
      <c r="BU58" s="583"/>
      <c r="BV58" s="583"/>
      <c r="BW58" s="583"/>
      <c r="BX58" s="583"/>
      <c r="BY58" s="583"/>
      <c r="BZ58" s="583">
        <v>1</v>
      </c>
      <c r="CA58" s="583">
        <v>1</v>
      </c>
    </row>
    <row r="59" spans="1:79" x14ac:dyDescent="0.35">
      <c r="A59" s="42">
        <v>44487</v>
      </c>
      <c r="B59" s="583"/>
      <c r="C59" s="583"/>
      <c r="D59" s="583"/>
      <c r="E59" s="583"/>
      <c r="F59" s="583"/>
      <c r="G59" s="583"/>
      <c r="H59" s="583"/>
      <c r="I59" s="583"/>
      <c r="J59" s="583"/>
      <c r="K59" s="583"/>
      <c r="L59" s="583"/>
      <c r="M59" s="583"/>
      <c r="N59" s="583"/>
      <c r="O59" s="583"/>
      <c r="P59" s="583"/>
      <c r="Q59" s="583"/>
      <c r="R59" s="583"/>
      <c r="S59" s="583"/>
      <c r="T59" s="583"/>
      <c r="U59" s="583"/>
      <c r="V59" s="583"/>
      <c r="W59" s="583"/>
      <c r="X59" s="583"/>
      <c r="Y59" s="583"/>
      <c r="Z59" s="583"/>
      <c r="AA59" s="583"/>
      <c r="AB59" s="583"/>
      <c r="AC59" s="583"/>
      <c r="AD59" s="583"/>
      <c r="AE59" s="583"/>
      <c r="AF59" s="583"/>
      <c r="AG59" s="583"/>
      <c r="AH59" s="583"/>
      <c r="AI59" s="583"/>
      <c r="AJ59" s="583"/>
      <c r="AK59" s="583"/>
      <c r="AL59" s="583"/>
      <c r="AM59" s="583"/>
      <c r="AN59" s="583">
        <v>1</v>
      </c>
      <c r="AO59" s="583">
        <v>1</v>
      </c>
      <c r="AP59" s="583"/>
      <c r="AQ59" s="583"/>
      <c r="AR59" s="583"/>
      <c r="AS59" s="583"/>
      <c r="AT59" s="583"/>
      <c r="AU59" s="583"/>
      <c r="AV59" s="583"/>
      <c r="AW59" s="583"/>
      <c r="AX59" s="583"/>
      <c r="AY59" s="583"/>
      <c r="AZ59" s="583"/>
      <c r="BA59" s="583"/>
      <c r="BB59" s="583"/>
      <c r="BC59" s="583"/>
      <c r="BD59" s="583"/>
      <c r="BE59" s="583"/>
      <c r="BF59" s="583"/>
      <c r="BG59" s="583"/>
      <c r="BH59" s="583"/>
      <c r="BI59" s="583"/>
      <c r="BJ59" s="583"/>
      <c r="BK59" s="583"/>
      <c r="BL59" s="583"/>
      <c r="BM59" s="583"/>
      <c r="BN59" s="583"/>
      <c r="BO59" s="583"/>
      <c r="BP59" s="583"/>
      <c r="BQ59" s="583"/>
      <c r="BR59" s="583"/>
      <c r="BS59" s="583"/>
      <c r="BT59" s="583"/>
      <c r="BU59" s="583"/>
      <c r="BV59" s="583"/>
      <c r="BW59" s="583"/>
      <c r="BX59" s="583"/>
      <c r="BY59" s="583"/>
      <c r="BZ59" s="583">
        <v>1</v>
      </c>
      <c r="CA59" s="583">
        <v>1</v>
      </c>
    </row>
    <row r="60" spans="1:79" x14ac:dyDescent="0.35">
      <c r="A60" s="42">
        <v>44488</v>
      </c>
      <c r="B60" s="583"/>
      <c r="C60" s="583"/>
      <c r="D60" s="583"/>
      <c r="E60" s="583"/>
      <c r="F60" s="583"/>
      <c r="G60" s="583"/>
      <c r="H60" s="583"/>
      <c r="I60" s="583"/>
      <c r="J60" s="583"/>
      <c r="K60" s="583"/>
      <c r="L60" s="583"/>
      <c r="M60" s="583"/>
      <c r="N60" s="583"/>
      <c r="O60" s="583"/>
      <c r="P60" s="583"/>
      <c r="Q60" s="583"/>
      <c r="R60" s="583"/>
      <c r="S60" s="583"/>
      <c r="T60" s="583"/>
      <c r="U60" s="583"/>
      <c r="V60" s="583"/>
      <c r="W60" s="583"/>
      <c r="X60" s="583"/>
      <c r="Y60" s="583"/>
      <c r="Z60" s="583"/>
      <c r="AA60" s="583"/>
      <c r="AB60" s="583"/>
      <c r="AC60" s="583"/>
      <c r="AD60" s="583"/>
      <c r="AE60" s="583"/>
      <c r="AF60" s="583"/>
      <c r="AG60" s="583"/>
      <c r="AH60" s="583"/>
      <c r="AI60" s="583"/>
      <c r="AJ60" s="583"/>
      <c r="AK60" s="583"/>
      <c r="AL60" s="583"/>
      <c r="AM60" s="583"/>
      <c r="AN60" s="583"/>
      <c r="AO60" s="583"/>
      <c r="AP60" s="583"/>
      <c r="AQ60" s="583"/>
      <c r="AR60" s="583">
        <v>4</v>
      </c>
      <c r="AS60" s="583">
        <v>4</v>
      </c>
      <c r="AT60" s="583">
        <v>1</v>
      </c>
      <c r="AU60" s="583">
        <v>1</v>
      </c>
      <c r="AV60" s="583">
        <v>1</v>
      </c>
      <c r="AW60" s="583">
        <v>1</v>
      </c>
      <c r="AX60" s="583"/>
      <c r="AY60" s="583"/>
      <c r="AZ60" s="583"/>
      <c r="BA60" s="583"/>
      <c r="BB60" s="583"/>
      <c r="BC60" s="583"/>
      <c r="BD60" s="583"/>
      <c r="BE60" s="583"/>
      <c r="BF60" s="583"/>
      <c r="BG60" s="583"/>
      <c r="BH60" s="583"/>
      <c r="BI60" s="583"/>
      <c r="BJ60" s="583"/>
      <c r="BK60" s="583"/>
      <c r="BL60" s="583"/>
      <c r="BM60" s="583"/>
      <c r="BN60" s="583"/>
      <c r="BO60" s="583"/>
      <c r="BP60" s="583"/>
      <c r="BQ60" s="583"/>
      <c r="BR60" s="583"/>
      <c r="BS60" s="583"/>
      <c r="BT60" s="583"/>
      <c r="BU60" s="583"/>
      <c r="BV60" s="583"/>
      <c r="BW60" s="583"/>
      <c r="BX60" s="583"/>
      <c r="BY60" s="583"/>
      <c r="BZ60" s="583">
        <v>6</v>
      </c>
      <c r="CA60" s="583">
        <v>6</v>
      </c>
    </row>
    <row r="61" spans="1:79" x14ac:dyDescent="0.35">
      <c r="A61" s="42">
        <v>44490</v>
      </c>
      <c r="B61" s="583"/>
      <c r="C61" s="583"/>
      <c r="D61" s="583"/>
      <c r="E61" s="583"/>
      <c r="F61" s="583"/>
      <c r="G61" s="583"/>
      <c r="H61" s="583"/>
      <c r="I61" s="583"/>
      <c r="J61" s="583"/>
      <c r="K61" s="583"/>
      <c r="L61" s="583"/>
      <c r="M61" s="583"/>
      <c r="N61" s="583"/>
      <c r="O61" s="583"/>
      <c r="P61" s="583"/>
      <c r="Q61" s="583"/>
      <c r="R61" s="583"/>
      <c r="S61" s="583"/>
      <c r="T61" s="583"/>
      <c r="U61" s="583"/>
      <c r="V61" s="583"/>
      <c r="W61" s="583"/>
      <c r="X61" s="583"/>
      <c r="Y61" s="583"/>
      <c r="Z61" s="583"/>
      <c r="AA61" s="583"/>
      <c r="AB61" s="583"/>
      <c r="AC61" s="583"/>
      <c r="AD61" s="583"/>
      <c r="AE61" s="583"/>
      <c r="AF61" s="583"/>
      <c r="AG61" s="583"/>
      <c r="AH61" s="583"/>
      <c r="AI61" s="583"/>
      <c r="AJ61" s="583"/>
      <c r="AK61" s="583"/>
      <c r="AL61" s="583"/>
      <c r="AM61" s="583"/>
      <c r="AN61" s="583"/>
      <c r="AO61" s="583"/>
      <c r="AP61" s="583">
        <v>1</v>
      </c>
      <c r="AQ61" s="583">
        <v>1</v>
      </c>
      <c r="AR61" s="583"/>
      <c r="AS61" s="583"/>
      <c r="AT61" s="583"/>
      <c r="AU61" s="583"/>
      <c r="AV61" s="583"/>
      <c r="AW61" s="583"/>
      <c r="AX61" s="583"/>
      <c r="AY61" s="583"/>
      <c r="AZ61" s="583"/>
      <c r="BA61" s="583"/>
      <c r="BB61" s="583"/>
      <c r="BC61" s="583"/>
      <c r="BD61" s="583"/>
      <c r="BE61" s="583"/>
      <c r="BF61" s="583"/>
      <c r="BG61" s="583"/>
      <c r="BH61" s="583"/>
      <c r="BI61" s="583"/>
      <c r="BJ61" s="583"/>
      <c r="BK61" s="583"/>
      <c r="BL61" s="583"/>
      <c r="BM61" s="583"/>
      <c r="BN61" s="583"/>
      <c r="BO61" s="583"/>
      <c r="BP61" s="583"/>
      <c r="BQ61" s="583"/>
      <c r="BR61" s="583"/>
      <c r="BS61" s="583"/>
      <c r="BT61" s="583"/>
      <c r="BU61" s="583"/>
      <c r="BV61" s="583"/>
      <c r="BW61" s="583"/>
      <c r="BX61" s="583"/>
      <c r="BY61" s="583"/>
      <c r="BZ61" s="583">
        <v>1</v>
      </c>
      <c r="CA61" s="583">
        <v>1</v>
      </c>
    </row>
    <row r="62" spans="1:79" x14ac:dyDescent="0.35">
      <c r="A62" s="42">
        <v>44496</v>
      </c>
      <c r="B62" s="583"/>
      <c r="C62" s="583"/>
      <c r="D62" s="583"/>
      <c r="E62" s="583"/>
      <c r="F62" s="583"/>
      <c r="G62" s="583"/>
      <c r="H62" s="583"/>
      <c r="I62" s="583"/>
      <c r="J62" s="583"/>
      <c r="K62" s="583"/>
      <c r="L62" s="583"/>
      <c r="M62" s="583"/>
      <c r="N62" s="583"/>
      <c r="O62" s="583"/>
      <c r="P62" s="583"/>
      <c r="Q62" s="583"/>
      <c r="R62" s="583"/>
      <c r="S62" s="583"/>
      <c r="T62" s="583"/>
      <c r="U62" s="583"/>
      <c r="V62" s="583"/>
      <c r="W62" s="583"/>
      <c r="X62" s="583"/>
      <c r="Y62" s="583"/>
      <c r="Z62" s="583"/>
      <c r="AA62" s="583"/>
      <c r="AB62" s="583"/>
      <c r="AC62" s="583"/>
      <c r="AD62" s="583"/>
      <c r="AE62" s="583"/>
      <c r="AF62" s="583"/>
      <c r="AG62" s="583"/>
      <c r="AH62" s="583"/>
      <c r="AI62" s="583"/>
      <c r="AJ62" s="583"/>
      <c r="AK62" s="583"/>
      <c r="AL62" s="583"/>
      <c r="AM62" s="583"/>
      <c r="AN62" s="583"/>
      <c r="AO62" s="583"/>
      <c r="AP62" s="583"/>
      <c r="AQ62" s="583"/>
      <c r="AR62" s="583"/>
      <c r="AS62" s="583"/>
      <c r="AT62" s="583"/>
      <c r="AU62" s="583"/>
      <c r="AV62" s="583"/>
      <c r="AW62" s="583"/>
      <c r="AX62" s="583">
        <v>1</v>
      </c>
      <c r="AY62" s="583">
        <v>1</v>
      </c>
      <c r="AZ62" s="583"/>
      <c r="BA62" s="583"/>
      <c r="BB62" s="583"/>
      <c r="BC62" s="583"/>
      <c r="BD62" s="583"/>
      <c r="BE62" s="583"/>
      <c r="BF62" s="583"/>
      <c r="BG62" s="583"/>
      <c r="BH62" s="583"/>
      <c r="BI62" s="583"/>
      <c r="BJ62" s="583"/>
      <c r="BK62" s="583"/>
      <c r="BL62" s="583">
        <v>1</v>
      </c>
      <c r="BM62" s="583">
        <v>1</v>
      </c>
      <c r="BN62" s="583"/>
      <c r="BO62" s="583"/>
      <c r="BP62" s="583"/>
      <c r="BQ62" s="583"/>
      <c r="BR62" s="583"/>
      <c r="BS62" s="583"/>
      <c r="BT62" s="583"/>
      <c r="BU62" s="583"/>
      <c r="BV62" s="583"/>
      <c r="BW62" s="583"/>
      <c r="BX62" s="583"/>
      <c r="BY62" s="583"/>
      <c r="BZ62" s="583">
        <v>2</v>
      </c>
      <c r="CA62" s="583">
        <v>2</v>
      </c>
    </row>
    <row r="63" spans="1:79" x14ac:dyDescent="0.35">
      <c r="A63" s="42">
        <v>44491</v>
      </c>
      <c r="B63" s="583"/>
      <c r="C63" s="583"/>
      <c r="D63" s="583"/>
      <c r="E63" s="583"/>
      <c r="F63" s="583"/>
      <c r="G63" s="583"/>
      <c r="H63" s="583"/>
      <c r="I63" s="583"/>
      <c r="J63" s="583"/>
      <c r="K63" s="583"/>
      <c r="L63" s="583"/>
      <c r="M63" s="583"/>
      <c r="N63" s="583"/>
      <c r="O63" s="583"/>
      <c r="P63" s="583"/>
      <c r="Q63" s="583"/>
      <c r="R63" s="583"/>
      <c r="S63" s="583"/>
      <c r="T63" s="583"/>
      <c r="U63" s="583"/>
      <c r="V63" s="583"/>
      <c r="W63" s="583"/>
      <c r="X63" s="583"/>
      <c r="Y63" s="583"/>
      <c r="Z63" s="583"/>
      <c r="AA63" s="583"/>
      <c r="AB63" s="583"/>
      <c r="AC63" s="583"/>
      <c r="AD63" s="583"/>
      <c r="AE63" s="583"/>
      <c r="AF63" s="583"/>
      <c r="AG63" s="583"/>
      <c r="AH63" s="583"/>
      <c r="AI63" s="583"/>
      <c r="AJ63" s="583"/>
      <c r="AK63" s="583"/>
      <c r="AL63" s="583"/>
      <c r="AM63" s="583"/>
      <c r="AN63" s="583"/>
      <c r="AO63" s="583"/>
      <c r="AP63" s="583"/>
      <c r="AQ63" s="583"/>
      <c r="AR63" s="583"/>
      <c r="AS63" s="583"/>
      <c r="AT63" s="583"/>
      <c r="AU63" s="583"/>
      <c r="AV63" s="583"/>
      <c r="AW63" s="583"/>
      <c r="AX63" s="583"/>
      <c r="AY63" s="583"/>
      <c r="AZ63" s="583">
        <v>1</v>
      </c>
      <c r="BA63" s="583">
        <v>1</v>
      </c>
      <c r="BB63" s="583"/>
      <c r="BC63" s="583"/>
      <c r="BD63" s="583"/>
      <c r="BE63" s="583"/>
      <c r="BF63" s="583"/>
      <c r="BG63" s="583"/>
      <c r="BH63" s="583"/>
      <c r="BI63" s="583"/>
      <c r="BJ63" s="583"/>
      <c r="BK63" s="583"/>
      <c r="BL63" s="583"/>
      <c r="BM63" s="583"/>
      <c r="BN63" s="583">
        <v>1</v>
      </c>
      <c r="BO63" s="583">
        <v>1</v>
      </c>
      <c r="BP63" s="583"/>
      <c r="BQ63" s="583"/>
      <c r="BR63" s="583"/>
      <c r="BS63" s="583"/>
      <c r="BT63" s="583"/>
      <c r="BU63" s="583"/>
      <c r="BV63" s="583"/>
      <c r="BW63" s="583"/>
      <c r="BX63" s="583"/>
      <c r="BY63" s="583"/>
      <c r="BZ63" s="583">
        <v>2</v>
      </c>
      <c r="CA63" s="583">
        <v>2</v>
      </c>
    </row>
    <row r="64" spans="1:79" x14ac:dyDescent="0.35">
      <c r="A64" s="42">
        <v>44494</v>
      </c>
      <c r="B64" s="583"/>
      <c r="C64" s="583"/>
      <c r="D64" s="583"/>
      <c r="E64" s="583"/>
      <c r="F64" s="583"/>
      <c r="G64" s="583"/>
      <c r="H64" s="583"/>
      <c r="I64" s="583"/>
      <c r="J64" s="583"/>
      <c r="K64" s="583"/>
      <c r="L64" s="583"/>
      <c r="M64" s="583"/>
      <c r="N64" s="583"/>
      <c r="O64" s="583"/>
      <c r="P64" s="583"/>
      <c r="Q64" s="583"/>
      <c r="R64" s="583"/>
      <c r="S64" s="583"/>
      <c r="T64" s="583"/>
      <c r="U64" s="583"/>
      <c r="V64" s="583"/>
      <c r="W64" s="583"/>
      <c r="X64" s="583"/>
      <c r="Y64" s="583"/>
      <c r="Z64" s="583"/>
      <c r="AA64" s="583"/>
      <c r="AB64" s="583"/>
      <c r="AC64" s="583"/>
      <c r="AD64" s="583"/>
      <c r="AE64" s="583"/>
      <c r="AF64" s="583"/>
      <c r="AG64" s="583"/>
      <c r="AH64" s="583"/>
      <c r="AI64" s="583"/>
      <c r="AJ64" s="583"/>
      <c r="AK64" s="583"/>
      <c r="AL64" s="583"/>
      <c r="AM64" s="583"/>
      <c r="AN64" s="583"/>
      <c r="AO64" s="583"/>
      <c r="AP64" s="583">
        <v>1</v>
      </c>
      <c r="AQ64" s="583">
        <v>1</v>
      </c>
      <c r="AR64" s="583"/>
      <c r="AS64" s="583"/>
      <c r="AT64" s="583"/>
      <c r="AU64" s="583"/>
      <c r="AV64" s="583"/>
      <c r="AW64" s="583"/>
      <c r="AX64" s="583"/>
      <c r="AY64" s="583"/>
      <c r="AZ64" s="583"/>
      <c r="BA64" s="583"/>
      <c r="BB64" s="583">
        <v>1</v>
      </c>
      <c r="BC64" s="583">
        <v>1</v>
      </c>
      <c r="BD64" s="583">
        <v>1</v>
      </c>
      <c r="BE64" s="583">
        <v>1</v>
      </c>
      <c r="BF64" s="583"/>
      <c r="BG64" s="583"/>
      <c r="BH64" s="583"/>
      <c r="BI64" s="583"/>
      <c r="BJ64" s="583"/>
      <c r="BK64" s="583"/>
      <c r="BL64" s="583"/>
      <c r="BM64" s="583"/>
      <c r="BN64" s="583"/>
      <c r="BO64" s="583"/>
      <c r="BP64" s="583"/>
      <c r="BQ64" s="583"/>
      <c r="BR64" s="583"/>
      <c r="BS64" s="583"/>
      <c r="BT64" s="583"/>
      <c r="BU64" s="583"/>
      <c r="BV64" s="583"/>
      <c r="BW64" s="583"/>
      <c r="BX64" s="583"/>
      <c r="BY64" s="583"/>
      <c r="BZ64" s="583">
        <v>3</v>
      </c>
      <c r="CA64" s="583">
        <v>3</v>
      </c>
    </row>
    <row r="65" spans="1:79" x14ac:dyDescent="0.35">
      <c r="A65" s="42">
        <v>44503</v>
      </c>
      <c r="B65" s="583"/>
      <c r="C65" s="583"/>
      <c r="D65" s="583"/>
      <c r="E65" s="583"/>
      <c r="F65" s="583"/>
      <c r="G65" s="583"/>
      <c r="H65" s="583"/>
      <c r="I65" s="583"/>
      <c r="J65" s="583"/>
      <c r="K65" s="583"/>
      <c r="L65" s="583"/>
      <c r="M65" s="583"/>
      <c r="N65" s="583"/>
      <c r="O65" s="583"/>
      <c r="P65" s="583"/>
      <c r="Q65" s="583"/>
      <c r="R65" s="583"/>
      <c r="S65" s="583">
        <v>1</v>
      </c>
      <c r="T65" s="583"/>
      <c r="U65" s="583"/>
      <c r="V65" s="583"/>
      <c r="W65" s="583"/>
      <c r="X65" s="583"/>
      <c r="Y65" s="583"/>
      <c r="Z65" s="583"/>
      <c r="AA65" s="583"/>
      <c r="AB65" s="583"/>
      <c r="AC65" s="583"/>
      <c r="AD65" s="583"/>
      <c r="AE65" s="583"/>
      <c r="AF65" s="583"/>
      <c r="AG65" s="583"/>
      <c r="AH65" s="583"/>
      <c r="AI65" s="583"/>
      <c r="AJ65" s="583"/>
      <c r="AK65" s="583"/>
      <c r="AL65" s="583"/>
      <c r="AM65" s="583"/>
      <c r="AN65" s="583"/>
      <c r="AO65" s="583"/>
      <c r="AP65" s="583"/>
      <c r="AQ65" s="583"/>
      <c r="AR65" s="583"/>
      <c r="AS65" s="583"/>
      <c r="AT65" s="583"/>
      <c r="AU65" s="583"/>
      <c r="AV65" s="583"/>
      <c r="AW65" s="583"/>
      <c r="AX65" s="583"/>
      <c r="AY65" s="583"/>
      <c r="AZ65" s="583"/>
      <c r="BA65" s="583"/>
      <c r="BB65" s="583"/>
      <c r="BC65" s="583"/>
      <c r="BD65" s="583"/>
      <c r="BE65" s="583"/>
      <c r="BF65" s="583">
        <v>2</v>
      </c>
      <c r="BG65" s="583">
        <v>2</v>
      </c>
      <c r="BH65" s="583"/>
      <c r="BI65" s="583"/>
      <c r="BJ65" s="583"/>
      <c r="BK65" s="583"/>
      <c r="BL65" s="583">
        <v>1</v>
      </c>
      <c r="BM65" s="583">
        <v>1</v>
      </c>
      <c r="BN65" s="583"/>
      <c r="BO65" s="583"/>
      <c r="BP65" s="583"/>
      <c r="BQ65" s="583"/>
      <c r="BR65" s="583"/>
      <c r="BS65" s="583"/>
      <c r="BT65" s="583"/>
      <c r="BU65" s="583"/>
      <c r="BV65" s="583"/>
      <c r="BW65" s="583"/>
      <c r="BX65" s="583"/>
      <c r="BY65" s="583"/>
      <c r="BZ65" s="583">
        <v>3</v>
      </c>
      <c r="CA65" s="583">
        <v>4</v>
      </c>
    </row>
    <row r="66" spans="1:79" x14ac:dyDescent="0.35">
      <c r="A66" s="42">
        <v>44504</v>
      </c>
      <c r="B66" s="583"/>
      <c r="C66" s="583"/>
      <c r="D66" s="583"/>
      <c r="E66" s="583"/>
      <c r="F66" s="583"/>
      <c r="G66" s="583"/>
      <c r="H66" s="583"/>
      <c r="I66" s="583"/>
      <c r="J66" s="583"/>
      <c r="K66" s="583"/>
      <c r="L66" s="583"/>
      <c r="M66" s="583"/>
      <c r="N66" s="583"/>
      <c r="O66" s="583"/>
      <c r="P66" s="583"/>
      <c r="Q66" s="583"/>
      <c r="R66" s="583"/>
      <c r="S66" s="583"/>
      <c r="T66" s="583"/>
      <c r="U66" s="583"/>
      <c r="V66" s="583"/>
      <c r="W66" s="583"/>
      <c r="X66" s="583"/>
      <c r="Y66" s="583"/>
      <c r="Z66" s="583"/>
      <c r="AA66" s="583"/>
      <c r="AB66" s="583"/>
      <c r="AC66" s="583"/>
      <c r="AD66" s="583"/>
      <c r="AE66" s="583"/>
      <c r="AF66" s="583"/>
      <c r="AG66" s="583"/>
      <c r="AH66" s="583"/>
      <c r="AI66" s="583"/>
      <c r="AJ66" s="583"/>
      <c r="AK66" s="583"/>
      <c r="AL66" s="583"/>
      <c r="AM66" s="583"/>
      <c r="AN66" s="583"/>
      <c r="AO66" s="583"/>
      <c r="AP66" s="583"/>
      <c r="AQ66" s="583"/>
      <c r="AR66" s="583"/>
      <c r="AS66" s="583"/>
      <c r="AT66" s="583"/>
      <c r="AU66" s="583"/>
      <c r="AV66" s="583"/>
      <c r="AW66" s="583"/>
      <c r="AX66" s="583"/>
      <c r="AY66" s="583"/>
      <c r="AZ66" s="583"/>
      <c r="BA66" s="583"/>
      <c r="BB66" s="583"/>
      <c r="BC66" s="583"/>
      <c r="BD66" s="583"/>
      <c r="BE66" s="583"/>
      <c r="BF66" s="583"/>
      <c r="BG66" s="583"/>
      <c r="BH66" s="583">
        <v>1</v>
      </c>
      <c r="BI66" s="583">
        <v>1</v>
      </c>
      <c r="BJ66" s="583"/>
      <c r="BK66" s="583"/>
      <c r="BL66" s="583"/>
      <c r="BM66" s="583"/>
      <c r="BN66" s="583"/>
      <c r="BO66" s="583"/>
      <c r="BP66" s="583">
        <v>1</v>
      </c>
      <c r="BQ66" s="583">
        <v>1</v>
      </c>
      <c r="BR66" s="583"/>
      <c r="BS66" s="583"/>
      <c r="BT66" s="583"/>
      <c r="BU66" s="583"/>
      <c r="BV66" s="583"/>
      <c r="BW66" s="583"/>
      <c r="BX66" s="583"/>
      <c r="BY66" s="583"/>
      <c r="BZ66" s="583">
        <v>2</v>
      </c>
      <c r="CA66" s="583">
        <v>2</v>
      </c>
    </row>
    <row r="67" spans="1:79" x14ac:dyDescent="0.35">
      <c r="A67" s="42">
        <v>44517</v>
      </c>
      <c r="B67" s="583"/>
      <c r="C67" s="583"/>
      <c r="D67" s="583"/>
      <c r="E67" s="583"/>
      <c r="F67" s="583"/>
      <c r="G67" s="583"/>
      <c r="H67" s="583"/>
      <c r="I67" s="583"/>
      <c r="J67" s="583"/>
      <c r="K67" s="583"/>
      <c r="L67" s="583"/>
      <c r="M67" s="583"/>
      <c r="N67" s="583"/>
      <c r="O67" s="583"/>
      <c r="P67" s="583"/>
      <c r="Q67" s="583"/>
      <c r="R67" s="583"/>
      <c r="S67" s="583"/>
      <c r="T67" s="583"/>
      <c r="U67" s="583"/>
      <c r="V67" s="583"/>
      <c r="W67" s="583"/>
      <c r="X67" s="583"/>
      <c r="Y67" s="583"/>
      <c r="Z67" s="583"/>
      <c r="AA67" s="583"/>
      <c r="AB67" s="583"/>
      <c r="AC67" s="583"/>
      <c r="AD67" s="583"/>
      <c r="AE67" s="583"/>
      <c r="AF67" s="583"/>
      <c r="AG67" s="583"/>
      <c r="AH67" s="583"/>
      <c r="AI67" s="583"/>
      <c r="AJ67" s="583"/>
      <c r="AK67" s="583"/>
      <c r="AL67" s="583"/>
      <c r="AM67" s="583"/>
      <c r="AN67" s="583"/>
      <c r="AO67" s="583"/>
      <c r="AP67" s="583"/>
      <c r="AQ67" s="583"/>
      <c r="AR67" s="583"/>
      <c r="AS67" s="583"/>
      <c r="AT67" s="583"/>
      <c r="AU67" s="583"/>
      <c r="AV67" s="583"/>
      <c r="AW67" s="583"/>
      <c r="AX67" s="583"/>
      <c r="AY67" s="583"/>
      <c r="AZ67" s="583"/>
      <c r="BA67" s="583"/>
      <c r="BB67" s="583"/>
      <c r="BC67" s="583"/>
      <c r="BD67" s="583"/>
      <c r="BE67" s="583"/>
      <c r="BF67" s="583"/>
      <c r="BG67" s="583"/>
      <c r="BH67" s="583"/>
      <c r="BI67" s="583"/>
      <c r="BJ67" s="583"/>
      <c r="BK67" s="583"/>
      <c r="BL67" s="583">
        <v>2</v>
      </c>
      <c r="BM67" s="583">
        <v>2</v>
      </c>
      <c r="BN67" s="583"/>
      <c r="BO67" s="583"/>
      <c r="BP67" s="583"/>
      <c r="BQ67" s="583"/>
      <c r="BR67" s="583"/>
      <c r="BS67" s="583"/>
      <c r="BT67" s="583"/>
      <c r="BU67" s="583"/>
      <c r="BV67" s="583"/>
      <c r="BW67" s="583"/>
      <c r="BX67" s="583"/>
      <c r="BY67" s="583"/>
      <c r="BZ67" s="583">
        <v>2</v>
      </c>
      <c r="CA67" s="583">
        <v>2</v>
      </c>
    </row>
    <row r="68" spans="1:79" x14ac:dyDescent="0.35">
      <c r="A68" s="42">
        <v>44498</v>
      </c>
      <c r="B68" s="583"/>
      <c r="C68" s="583"/>
      <c r="D68" s="583"/>
      <c r="E68" s="583"/>
      <c r="F68" s="583"/>
      <c r="G68" s="583"/>
      <c r="H68" s="583"/>
      <c r="I68" s="583"/>
      <c r="J68" s="583"/>
      <c r="K68" s="583"/>
      <c r="L68" s="583"/>
      <c r="M68" s="583"/>
      <c r="N68" s="583"/>
      <c r="O68" s="583"/>
      <c r="P68" s="583"/>
      <c r="Q68" s="583"/>
      <c r="R68" s="583"/>
      <c r="S68" s="583"/>
      <c r="T68" s="583"/>
      <c r="U68" s="583"/>
      <c r="V68" s="583"/>
      <c r="W68" s="583"/>
      <c r="X68" s="583"/>
      <c r="Y68" s="583"/>
      <c r="Z68" s="583"/>
      <c r="AA68" s="583"/>
      <c r="AB68" s="583"/>
      <c r="AC68" s="583"/>
      <c r="AD68" s="583"/>
      <c r="AE68" s="583"/>
      <c r="AF68" s="583"/>
      <c r="AG68" s="583"/>
      <c r="AH68" s="583"/>
      <c r="AI68" s="583"/>
      <c r="AJ68" s="583"/>
      <c r="AK68" s="583"/>
      <c r="AL68" s="583"/>
      <c r="AM68" s="583"/>
      <c r="AN68" s="583"/>
      <c r="AO68" s="583"/>
      <c r="AP68" s="583">
        <v>2</v>
      </c>
      <c r="AQ68" s="583">
        <v>2</v>
      </c>
      <c r="AR68" s="583"/>
      <c r="AS68" s="583"/>
      <c r="AT68" s="583"/>
      <c r="AU68" s="583"/>
      <c r="AV68" s="583"/>
      <c r="AW68" s="583"/>
      <c r="AX68" s="583"/>
      <c r="AY68" s="583"/>
      <c r="AZ68" s="583"/>
      <c r="BA68" s="583"/>
      <c r="BB68" s="583"/>
      <c r="BC68" s="583"/>
      <c r="BD68" s="583"/>
      <c r="BE68" s="583"/>
      <c r="BF68" s="583"/>
      <c r="BG68" s="583"/>
      <c r="BH68" s="583"/>
      <c r="BI68" s="583"/>
      <c r="BJ68" s="583"/>
      <c r="BK68" s="583"/>
      <c r="BL68" s="583"/>
      <c r="BM68" s="583"/>
      <c r="BN68" s="583">
        <v>1</v>
      </c>
      <c r="BO68" s="583">
        <v>1</v>
      </c>
      <c r="BP68" s="583"/>
      <c r="BQ68" s="583"/>
      <c r="BR68" s="583"/>
      <c r="BS68" s="583"/>
      <c r="BT68" s="583"/>
      <c r="BU68" s="583"/>
      <c r="BV68" s="583"/>
      <c r="BW68" s="583"/>
      <c r="BX68" s="583"/>
      <c r="BY68" s="583"/>
      <c r="BZ68" s="583">
        <v>3</v>
      </c>
      <c r="CA68" s="583">
        <v>3</v>
      </c>
    </row>
    <row r="69" spans="1:79" x14ac:dyDescent="0.35">
      <c r="A69" s="42">
        <v>44524</v>
      </c>
      <c r="B69" s="583"/>
      <c r="C69" s="583"/>
      <c r="D69" s="583"/>
      <c r="E69" s="583"/>
      <c r="F69" s="583"/>
      <c r="G69" s="583"/>
      <c r="H69" s="583"/>
      <c r="I69" s="583"/>
      <c r="J69" s="583"/>
      <c r="K69" s="583"/>
      <c r="L69" s="583"/>
      <c r="M69" s="583"/>
      <c r="N69" s="583"/>
      <c r="O69" s="583"/>
      <c r="P69" s="583"/>
      <c r="Q69" s="583"/>
      <c r="R69" s="583"/>
      <c r="S69" s="583"/>
      <c r="T69" s="583"/>
      <c r="U69" s="583"/>
      <c r="V69" s="583"/>
      <c r="W69" s="583"/>
      <c r="X69" s="583"/>
      <c r="Y69" s="583"/>
      <c r="Z69" s="583"/>
      <c r="AA69" s="583"/>
      <c r="AB69" s="583"/>
      <c r="AC69" s="583"/>
      <c r="AD69" s="583"/>
      <c r="AE69" s="583"/>
      <c r="AF69" s="583"/>
      <c r="AG69" s="583"/>
      <c r="AH69" s="583"/>
      <c r="AI69" s="583"/>
      <c r="AJ69" s="583"/>
      <c r="AK69" s="583"/>
      <c r="AL69" s="583"/>
      <c r="AM69" s="583"/>
      <c r="AN69" s="583"/>
      <c r="AO69" s="583"/>
      <c r="AP69" s="583"/>
      <c r="AQ69" s="583"/>
      <c r="AR69" s="583"/>
      <c r="AS69" s="583"/>
      <c r="AT69" s="583"/>
      <c r="AU69" s="583"/>
      <c r="AV69" s="583"/>
      <c r="AW69" s="583"/>
      <c r="AX69" s="583"/>
      <c r="AY69" s="583"/>
      <c r="AZ69" s="583"/>
      <c r="BA69" s="583"/>
      <c r="BB69" s="583"/>
      <c r="BC69" s="583"/>
      <c r="BD69" s="583"/>
      <c r="BE69" s="583"/>
      <c r="BF69" s="583"/>
      <c r="BG69" s="583"/>
      <c r="BH69" s="583"/>
      <c r="BI69" s="583"/>
      <c r="BJ69" s="583"/>
      <c r="BK69" s="583"/>
      <c r="BL69" s="583">
        <v>1</v>
      </c>
      <c r="BM69" s="583">
        <v>1</v>
      </c>
      <c r="BN69" s="583"/>
      <c r="BO69" s="583"/>
      <c r="BP69" s="583"/>
      <c r="BQ69" s="583"/>
      <c r="BR69" s="583"/>
      <c r="BS69" s="583"/>
      <c r="BT69" s="583"/>
      <c r="BU69" s="583"/>
      <c r="BV69" s="583"/>
      <c r="BW69" s="583"/>
      <c r="BX69" s="583"/>
      <c r="BY69" s="583"/>
      <c r="BZ69" s="583">
        <v>1</v>
      </c>
      <c r="CA69" s="583">
        <v>1</v>
      </c>
    </row>
    <row r="70" spans="1:79" x14ac:dyDescent="0.35">
      <c r="A70" s="42">
        <v>44525</v>
      </c>
      <c r="B70" s="583"/>
      <c r="C70" s="583"/>
      <c r="D70" s="583"/>
      <c r="E70" s="583"/>
      <c r="F70" s="583"/>
      <c r="G70" s="583"/>
      <c r="H70" s="583"/>
      <c r="I70" s="583"/>
      <c r="J70" s="583"/>
      <c r="K70" s="583"/>
      <c r="L70" s="583"/>
      <c r="M70" s="583"/>
      <c r="N70" s="583"/>
      <c r="O70" s="583"/>
      <c r="P70" s="583"/>
      <c r="Q70" s="583"/>
      <c r="R70" s="583"/>
      <c r="S70" s="583"/>
      <c r="T70" s="583"/>
      <c r="U70" s="583"/>
      <c r="V70" s="583"/>
      <c r="W70" s="583"/>
      <c r="X70" s="583"/>
      <c r="Y70" s="583"/>
      <c r="Z70" s="583"/>
      <c r="AA70" s="583"/>
      <c r="AB70" s="583"/>
      <c r="AC70" s="583"/>
      <c r="AD70" s="583"/>
      <c r="AE70" s="583"/>
      <c r="AF70" s="583"/>
      <c r="AG70" s="583"/>
      <c r="AH70" s="583"/>
      <c r="AI70" s="583"/>
      <c r="AJ70" s="583"/>
      <c r="AK70" s="583"/>
      <c r="AL70" s="583"/>
      <c r="AM70" s="583"/>
      <c r="AN70" s="583"/>
      <c r="AO70" s="583"/>
      <c r="AP70" s="583"/>
      <c r="AQ70" s="583"/>
      <c r="AR70" s="583"/>
      <c r="AS70" s="583"/>
      <c r="AT70" s="583"/>
      <c r="AU70" s="583"/>
      <c r="AV70" s="583"/>
      <c r="AW70" s="583"/>
      <c r="AX70" s="583"/>
      <c r="AY70" s="583"/>
      <c r="AZ70" s="583"/>
      <c r="BA70" s="583"/>
      <c r="BB70" s="583"/>
      <c r="BC70" s="583"/>
      <c r="BD70" s="583"/>
      <c r="BE70" s="583"/>
      <c r="BF70" s="583"/>
      <c r="BG70" s="583"/>
      <c r="BH70" s="583"/>
      <c r="BI70" s="583"/>
      <c r="BJ70" s="583"/>
      <c r="BK70" s="583"/>
      <c r="BL70" s="583"/>
      <c r="BM70" s="583"/>
      <c r="BN70" s="583"/>
      <c r="BO70" s="583"/>
      <c r="BP70" s="583"/>
      <c r="BQ70" s="583"/>
      <c r="BR70" s="583"/>
      <c r="BS70" s="583"/>
      <c r="BT70" s="583"/>
      <c r="BU70" s="583"/>
      <c r="BV70" s="583"/>
      <c r="BW70" s="583"/>
      <c r="BX70" s="583">
        <v>1</v>
      </c>
      <c r="BY70" s="583">
        <v>1</v>
      </c>
      <c r="BZ70" s="583">
        <v>1</v>
      </c>
      <c r="CA70" s="583">
        <v>1</v>
      </c>
    </row>
    <row r="71" spans="1:79" x14ac:dyDescent="0.35">
      <c r="A71" s="42">
        <v>44529</v>
      </c>
      <c r="B71" s="583"/>
      <c r="C71" s="583"/>
      <c r="D71" s="583"/>
      <c r="E71" s="583"/>
      <c r="F71" s="583"/>
      <c r="G71" s="583"/>
      <c r="H71" s="583"/>
      <c r="I71" s="583"/>
      <c r="J71" s="583"/>
      <c r="K71" s="583"/>
      <c r="L71" s="583"/>
      <c r="M71" s="583"/>
      <c r="N71" s="583"/>
      <c r="O71" s="583"/>
      <c r="P71" s="583"/>
      <c r="Q71" s="583"/>
      <c r="R71" s="583"/>
      <c r="S71" s="583"/>
      <c r="T71" s="583"/>
      <c r="U71" s="583"/>
      <c r="V71" s="583"/>
      <c r="W71" s="583"/>
      <c r="X71" s="583"/>
      <c r="Y71" s="583"/>
      <c r="Z71" s="583"/>
      <c r="AA71" s="583"/>
      <c r="AB71" s="583"/>
      <c r="AC71" s="583"/>
      <c r="AD71" s="583"/>
      <c r="AE71" s="583"/>
      <c r="AF71" s="583"/>
      <c r="AG71" s="583"/>
      <c r="AH71" s="583"/>
      <c r="AI71" s="583"/>
      <c r="AJ71" s="583"/>
      <c r="AK71" s="583"/>
      <c r="AL71" s="583"/>
      <c r="AM71" s="583"/>
      <c r="AN71" s="583"/>
      <c r="AO71" s="583"/>
      <c r="AP71" s="583"/>
      <c r="AQ71" s="583"/>
      <c r="AR71" s="583"/>
      <c r="AS71" s="583"/>
      <c r="AT71" s="583"/>
      <c r="AU71" s="583"/>
      <c r="AV71" s="583"/>
      <c r="AW71" s="583"/>
      <c r="AX71" s="583"/>
      <c r="AY71" s="583"/>
      <c r="AZ71" s="583"/>
      <c r="BA71" s="583"/>
      <c r="BB71" s="583"/>
      <c r="BC71" s="583"/>
      <c r="BD71" s="583"/>
      <c r="BE71" s="583"/>
      <c r="BF71" s="583"/>
      <c r="BG71" s="583"/>
      <c r="BH71" s="583"/>
      <c r="BI71" s="583"/>
      <c r="BJ71" s="583"/>
      <c r="BK71" s="583"/>
      <c r="BL71" s="583"/>
      <c r="BM71" s="583"/>
      <c r="BN71" s="583"/>
      <c r="BO71" s="583"/>
      <c r="BP71" s="583">
        <v>1</v>
      </c>
      <c r="BQ71" s="583">
        <v>1</v>
      </c>
      <c r="BR71" s="583"/>
      <c r="BS71" s="583"/>
      <c r="BT71" s="583"/>
      <c r="BU71" s="583"/>
      <c r="BV71" s="583"/>
      <c r="BW71" s="583"/>
      <c r="BX71" s="583"/>
      <c r="BY71" s="583"/>
      <c r="BZ71" s="583">
        <v>1</v>
      </c>
      <c r="CA71" s="583">
        <v>1</v>
      </c>
    </row>
    <row r="72" spans="1:79" x14ac:dyDescent="0.35">
      <c r="A72" s="42" t="s">
        <v>56</v>
      </c>
      <c r="B72" s="583">
        <v>6</v>
      </c>
      <c r="C72" s="583">
        <v>6</v>
      </c>
      <c r="D72" s="583">
        <v>4</v>
      </c>
      <c r="E72" s="583">
        <v>3</v>
      </c>
      <c r="F72" s="583">
        <v>1</v>
      </c>
      <c r="G72" s="583">
        <v>1</v>
      </c>
      <c r="H72" s="583">
        <v>2</v>
      </c>
      <c r="I72" s="583">
        <v>2</v>
      </c>
      <c r="J72" s="583">
        <v>10</v>
      </c>
      <c r="K72" s="583">
        <v>10</v>
      </c>
      <c r="L72" s="583">
        <v>1</v>
      </c>
      <c r="M72" s="583">
        <v>1</v>
      </c>
      <c r="N72" s="583">
        <v>3</v>
      </c>
      <c r="O72" s="583">
        <v>3</v>
      </c>
      <c r="P72" s="583">
        <v>6</v>
      </c>
      <c r="Q72" s="583">
        <v>6</v>
      </c>
      <c r="R72" s="583"/>
      <c r="S72" s="583">
        <v>1</v>
      </c>
      <c r="T72" s="583">
        <v>2</v>
      </c>
      <c r="U72" s="583">
        <v>2</v>
      </c>
      <c r="V72" s="583">
        <v>1</v>
      </c>
      <c r="W72" s="583">
        <v>1</v>
      </c>
      <c r="X72" s="583">
        <v>2</v>
      </c>
      <c r="Y72" s="583">
        <v>2</v>
      </c>
      <c r="Z72" s="583">
        <v>4</v>
      </c>
      <c r="AA72" s="583">
        <v>4</v>
      </c>
      <c r="AB72" s="583">
        <v>6</v>
      </c>
      <c r="AC72" s="583">
        <v>5</v>
      </c>
      <c r="AD72" s="583">
        <v>3</v>
      </c>
      <c r="AE72" s="583">
        <v>2</v>
      </c>
      <c r="AF72" s="583">
        <v>1</v>
      </c>
      <c r="AG72" s="583">
        <v>1</v>
      </c>
      <c r="AH72" s="583">
        <v>1</v>
      </c>
      <c r="AI72" s="583">
        <v>1</v>
      </c>
      <c r="AJ72" s="583">
        <v>1</v>
      </c>
      <c r="AK72" s="583">
        <v>1</v>
      </c>
      <c r="AL72" s="583">
        <v>1</v>
      </c>
      <c r="AM72" s="583"/>
      <c r="AN72" s="583">
        <v>2</v>
      </c>
      <c r="AO72" s="583">
        <v>2</v>
      </c>
      <c r="AP72" s="583">
        <v>5</v>
      </c>
      <c r="AQ72" s="583">
        <v>5</v>
      </c>
      <c r="AR72" s="583">
        <v>4</v>
      </c>
      <c r="AS72" s="583">
        <v>4</v>
      </c>
      <c r="AT72" s="583">
        <v>1</v>
      </c>
      <c r="AU72" s="583">
        <v>1</v>
      </c>
      <c r="AV72" s="583">
        <v>1</v>
      </c>
      <c r="AW72" s="583">
        <v>1</v>
      </c>
      <c r="AX72" s="583">
        <v>1</v>
      </c>
      <c r="AY72" s="583">
        <v>1</v>
      </c>
      <c r="AZ72" s="583">
        <v>1</v>
      </c>
      <c r="BA72" s="583">
        <v>1</v>
      </c>
      <c r="BB72" s="583">
        <v>1</v>
      </c>
      <c r="BC72" s="583">
        <v>1</v>
      </c>
      <c r="BD72" s="583">
        <v>1</v>
      </c>
      <c r="BE72" s="583">
        <v>1</v>
      </c>
      <c r="BF72" s="583">
        <v>2</v>
      </c>
      <c r="BG72" s="583">
        <v>2</v>
      </c>
      <c r="BH72" s="583">
        <v>1</v>
      </c>
      <c r="BI72" s="583">
        <v>1</v>
      </c>
      <c r="BJ72" s="583">
        <v>1</v>
      </c>
      <c r="BK72" s="583">
        <v>1</v>
      </c>
      <c r="BL72" s="583">
        <v>5</v>
      </c>
      <c r="BM72" s="583">
        <v>5</v>
      </c>
      <c r="BN72" s="583">
        <v>2</v>
      </c>
      <c r="BO72" s="583">
        <v>2</v>
      </c>
      <c r="BP72" s="583">
        <v>2</v>
      </c>
      <c r="BQ72" s="583">
        <v>2</v>
      </c>
      <c r="BR72" s="583">
        <v>1</v>
      </c>
      <c r="BS72" s="583">
        <v>1</v>
      </c>
      <c r="BT72" s="583">
        <v>3</v>
      </c>
      <c r="BU72" s="583"/>
      <c r="BV72" s="583">
        <v>1</v>
      </c>
      <c r="BW72" s="583">
        <v>1</v>
      </c>
      <c r="BX72" s="583">
        <v>1</v>
      </c>
      <c r="BY72" s="583">
        <v>1</v>
      </c>
      <c r="BZ72" s="583">
        <v>91</v>
      </c>
      <c r="CA72" s="583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0" bestFit="1" customWidth="1"/>
    <col min="2" max="2" width="8.69921875" style="164" customWidth="1"/>
    <col min="3" max="3" width="35.3984375" style="164" bestFit="1" customWidth="1"/>
    <col min="4" max="4" width="8.69921875" style="164" customWidth="1"/>
    <col min="5" max="5" width="9.3984375" style="164" bestFit="1" customWidth="1"/>
    <col min="6" max="6" width="11.3984375" style="164" bestFit="1" customWidth="1"/>
    <col min="7" max="8" width="8.69921875" style="164" customWidth="1"/>
    <col min="9" max="9" width="31.09765625" style="164" bestFit="1" customWidth="1"/>
    <col min="10" max="13" width="8.69921875" style="164" customWidth="1"/>
    <col min="14" max="16384" width="8.69921875" style="164"/>
  </cols>
  <sheetData>
    <row r="1" spans="1:9" ht="16.5" customHeight="1" thickBot="1" x14ac:dyDescent="0.35">
      <c r="A1" s="200">
        <f>SUM(A2:A34)</f>
        <v>33</v>
      </c>
      <c r="B1" s="190" t="s">
        <v>88</v>
      </c>
      <c r="C1" s="191" t="s">
        <v>89</v>
      </c>
      <c r="D1" s="191" t="s">
        <v>91</v>
      </c>
      <c r="E1" s="192" t="s">
        <v>92</v>
      </c>
      <c r="F1" s="193" t="s">
        <v>94</v>
      </c>
      <c r="G1" s="194" t="s">
        <v>46</v>
      </c>
      <c r="H1" s="194" t="s">
        <v>47</v>
      </c>
      <c r="I1" s="195" t="s">
        <v>97</v>
      </c>
    </row>
    <row r="2" spans="1:9" x14ac:dyDescent="0.3">
      <c r="A2" s="200">
        <v>6</v>
      </c>
      <c r="B2" s="174" t="s">
        <v>836</v>
      </c>
      <c r="C2" s="186" t="s">
        <v>837</v>
      </c>
      <c r="D2" s="175" t="s">
        <v>179</v>
      </c>
      <c r="E2" s="176" t="s">
        <v>189</v>
      </c>
      <c r="F2" s="177">
        <v>44494</v>
      </c>
      <c r="G2" s="175" t="s">
        <v>12</v>
      </c>
      <c r="H2" s="175" t="s">
        <v>14</v>
      </c>
      <c r="I2" s="178" t="s">
        <v>838</v>
      </c>
    </row>
    <row r="3" spans="1:9" x14ac:dyDescent="0.3">
      <c r="B3" s="180" t="s">
        <v>840</v>
      </c>
      <c r="C3" s="169" t="s">
        <v>841</v>
      </c>
      <c r="D3" s="165" t="s">
        <v>179</v>
      </c>
      <c r="E3" s="166" t="s">
        <v>189</v>
      </c>
      <c r="F3" s="167">
        <v>44494</v>
      </c>
      <c r="G3" s="165" t="s">
        <v>12</v>
      </c>
      <c r="H3" s="165" t="s">
        <v>14</v>
      </c>
      <c r="I3" s="179" t="s">
        <v>838</v>
      </c>
    </row>
    <row r="4" spans="1:9" x14ac:dyDescent="0.3">
      <c r="B4" s="180" t="s">
        <v>844</v>
      </c>
      <c r="C4" s="170" t="s">
        <v>2362</v>
      </c>
      <c r="D4" s="165" t="s">
        <v>179</v>
      </c>
      <c r="E4" s="166" t="s">
        <v>189</v>
      </c>
      <c r="F4" s="167">
        <v>44494</v>
      </c>
      <c r="G4" s="165" t="s">
        <v>12</v>
      </c>
      <c r="H4" s="165" t="s">
        <v>14</v>
      </c>
      <c r="I4" s="179" t="s">
        <v>838</v>
      </c>
    </row>
    <row r="5" spans="1:9" x14ac:dyDescent="0.3">
      <c r="B5" s="180" t="s">
        <v>846</v>
      </c>
      <c r="C5" s="170" t="s">
        <v>2333</v>
      </c>
      <c r="D5" s="165" t="s">
        <v>179</v>
      </c>
      <c r="E5" s="166" t="s">
        <v>189</v>
      </c>
      <c r="F5" s="167">
        <v>44494</v>
      </c>
      <c r="G5" s="165" t="s">
        <v>12</v>
      </c>
      <c r="H5" s="165" t="s">
        <v>14</v>
      </c>
      <c r="I5" s="179" t="s">
        <v>838</v>
      </c>
    </row>
    <row r="6" spans="1:9" x14ac:dyDescent="0.3">
      <c r="B6" s="180" t="s">
        <v>850</v>
      </c>
      <c r="C6" s="170" t="s">
        <v>851</v>
      </c>
      <c r="D6" s="165" t="s">
        <v>122</v>
      </c>
      <c r="E6" s="166" t="s">
        <v>189</v>
      </c>
      <c r="F6" s="167">
        <v>44494</v>
      </c>
      <c r="G6" s="165" t="s">
        <v>12</v>
      </c>
      <c r="H6" s="165" t="s">
        <v>14</v>
      </c>
      <c r="I6" s="179" t="s">
        <v>838</v>
      </c>
    </row>
    <row r="7" spans="1:9" ht="16.5" customHeight="1" thickBot="1" x14ac:dyDescent="0.35">
      <c r="B7" s="188" t="s">
        <v>855</v>
      </c>
      <c r="C7" s="198" t="s">
        <v>856</v>
      </c>
      <c r="D7" s="182" t="s">
        <v>122</v>
      </c>
      <c r="E7" s="183" t="s">
        <v>189</v>
      </c>
      <c r="F7" s="184">
        <v>44494</v>
      </c>
      <c r="G7" s="182" t="s">
        <v>12</v>
      </c>
      <c r="H7" s="182" t="s">
        <v>13</v>
      </c>
      <c r="I7" s="199" t="s">
        <v>857</v>
      </c>
    </row>
    <row r="8" spans="1:9" x14ac:dyDescent="0.3">
      <c r="A8" s="200">
        <v>6</v>
      </c>
      <c r="B8" s="196" t="s">
        <v>858</v>
      </c>
      <c r="C8" s="172" t="s">
        <v>2334</v>
      </c>
      <c r="D8" s="171" t="s">
        <v>179</v>
      </c>
      <c r="E8" s="171" t="s">
        <v>189</v>
      </c>
      <c r="F8" s="173">
        <v>44494</v>
      </c>
      <c r="G8" s="171" t="s">
        <v>10</v>
      </c>
      <c r="H8" s="171" t="s">
        <v>13</v>
      </c>
      <c r="I8" s="197"/>
    </row>
    <row r="9" spans="1:9" x14ac:dyDescent="0.3">
      <c r="B9" s="180" t="s">
        <v>861</v>
      </c>
      <c r="C9" s="168" t="s">
        <v>2363</v>
      </c>
      <c r="D9" s="165" t="s">
        <v>179</v>
      </c>
      <c r="E9" s="165" t="s">
        <v>189</v>
      </c>
      <c r="F9" s="167">
        <v>44494</v>
      </c>
      <c r="G9" s="165" t="s">
        <v>7</v>
      </c>
      <c r="H9" s="165" t="s">
        <v>158</v>
      </c>
      <c r="I9" s="181"/>
    </row>
    <row r="10" spans="1:9" x14ac:dyDescent="0.3">
      <c r="B10" s="180" t="s">
        <v>863</v>
      </c>
      <c r="C10" s="170" t="s">
        <v>2364</v>
      </c>
      <c r="D10" s="165" t="s">
        <v>179</v>
      </c>
      <c r="E10" s="166" t="s">
        <v>189</v>
      </c>
      <c r="F10" s="167">
        <v>44494</v>
      </c>
      <c r="G10" s="165" t="s">
        <v>12</v>
      </c>
      <c r="H10" s="165" t="s">
        <v>158</v>
      </c>
      <c r="I10" s="181"/>
    </row>
    <row r="11" spans="1:9" x14ac:dyDescent="0.3">
      <c r="B11" s="180" t="s">
        <v>866</v>
      </c>
      <c r="C11" s="170" t="s">
        <v>2365</v>
      </c>
      <c r="D11" s="165" t="s">
        <v>179</v>
      </c>
      <c r="E11" s="166" t="s">
        <v>189</v>
      </c>
      <c r="F11" s="167">
        <v>44494</v>
      </c>
      <c r="G11" s="165" t="s">
        <v>12</v>
      </c>
      <c r="H11" s="165" t="s">
        <v>158</v>
      </c>
      <c r="I11" s="181"/>
    </row>
    <row r="12" spans="1:9" x14ac:dyDescent="0.3">
      <c r="B12" s="180" t="s">
        <v>869</v>
      </c>
      <c r="C12" s="170" t="s">
        <v>2335</v>
      </c>
      <c r="D12" s="165" t="s">
        <v>179</v>
      </c>
      <c r="E12" s="166" t="s">
        <v>189</v>
      </c>
      <c r="F12" s="167">
        <v>44494</v>
      </c>
      <c r="G12" s="165" t="s">
        <v>10</v>
      </c>
      <c r="H12" s="165" t="s">
        <v>25</v>
      </c>
      <c r="I12" s="181" t="s">
        <v>857</v>
      </c>
    </row>
    <row r="13" spans="1:9" ht="16.5" customHeight="1" thickBot="1" x14ac:dyDescent="0.35">
      <c r="B13" s="188" t="s">
        <v>871</v>
      </c>
      <c r="C13" s="189" t="s">
        <v>2336</v>
      </c>
      <c r="D13" s="182" t="s">
        <v>179</v>
      </c>
      <c r="E13" s="183" t="s">
        <v>189</v>
      </c>
      <c r="F13" s="184">
        <v>44494</v>
      </c>
      <c r="G13" s="182" t="s">
        <v>10</v>
      </c>
      <c r="H13" s="182" t="s">
        <v>25</v>
      </c>
      <c r="I13" s="185" t="s">
        <v>857</v>
      </c>
    </row>
    <row r="14" spans="1:9" x14ac:dyDescent="0.3">
      <c r="A14" s="200">
        <v>8</v>
      </c>
      <c r="B14" s="174" t="s">
        <v>873</v>
      </c>
      <c r="C14" s="186" t="s">
        <v>2360</v>
      </c>
      <c r="D14" s="175" t="s">
        <v>466</v>
      </c>
      <c r="E14" s="175" t="s">
        <v>123</v>
      </c>
      <c r="F14" s="177">
        <v>44496</v>
      </c>
      <c r="G14" s="175" t="s">
        <v>7</v>
      </c>
      <c r="H14" s="175" t="s">
        <v>14</v>
      </c>
      <c r="I14" s="187"/>
    </row>
    <row r="15" spans="1:9" x14ac:dyDescent="0.3">
      <c r="B15" s="180" t="s">
        <v>875</v>
      </c>
      <c r="C15" s="170" t="s">
        <v>2366</v>
      </c>
      <c r="D15" s="165" t="s">
        <v>466</v>
      </c>
      <c r="E15" s="165" t="s">
        <v>123</v>
      </c>
      <c r="F15" s="167">
        <v>44496</v>
      </c>
      <c r="G15" s="165" t="s">
        <v>7</v>
      </c>
      <c r="H15" s="165" t="s">
        <v>14</v>
      </c>
      <c r="I15" s="181"/>
    </row>
    <row r="16" spans="1:9" x14ac:dyDescent="0.3">
      <c r="B16" s="180" t="s">
        <v>877</v>
      </c>
      <c r="C16" s="170" t="s">
        <v>2367</v>
      </c>
      <c r="D16" s="165" t="s">
        <v>466</v>
      </c>
      <c r="E16" s="165" t="s">
        <v>123</v>
      </c>
      <c r="F16" s="167">
        <v>44496</v>
      </c>
      <c r="G16" s="165" t="s">
        <v>7</v>
      </c>
      <c r="H16" s="165" t="s">
        <v>14</v>
      </c>
      <c r="I16" s="181"/>
    </row>
    <row r="17" spans="1:9" x14ac:dyDescent="0.3">
      <c r="B17" s="180" t="s">
        <v>879</v>
      </c>
      <c r="C17" s="170" t="s">
        <v>2368</v>
      </c>
      <c r="D17" s="165" t="s">
        <v>466</v>
      </c>
      <c r="E17" s="165" t="s">
        <v>123</v>
      </c>
      <c r="F17" s="167">
        <v>44496</v>
      </c>
      <c r="G17" s="165" t="s">
        <v>7</v>
      </c>
      <c r="H17" s="165" t="s">
        <v>14</v>
      </c>
      <c r="I17" s="181"/>
    </row>
    <row r="18" spans="1:9" x14ac:dyDescent="0.3">
      <c r="B18" s="180" t="s">
        <v>881</v>
      </c>
      <c r="C18" s="170" t="s">
        <v>2369</v>
      </c>
      <c r="D18" s="165" t="s">
        <v>466</v>
      </c>
      <c r="E18" s="165" t="s">
        <v>123</v>
      </c>
      <c r="F18" s="167">
        <v>44496</v>
      </c>
      <c r="G18" s="165" t="s">
        <v>7</v>
      </c>
      <c r="H18" s="165" t="s">
        <v>14</v>
      </c>
      <c r="I18" s="181"/>
    </row>
    <row r="19" spans="1:9" x14ac:dyDescent="0.3">
      <c r="B19" s="180" t="s">
        <v>883</v>
      </c>
      <c r="C19" s="170" t="s">
        <v>2370</v>
      </c>
      <c r="D19" s="165" t="s">
        <v>466</v>
      </c>
      <c r="E19" s="165" t="s">
        <v>123</v>
      </c>
      <c r="F19" s="167">
        <v>44496</v>
      </c>
      <c r="G19" s="165" t="s">
        <v>7</v>
      </c>
      <c r="H19" s="165" t="s">
        <v>14</v>
      </c>
      <c r="I19" s="181"/>
    </row>
    <row r="20" spans="1:9" x14ac:dyDescent="0.3">
      <c r="B20" s="180" t="s">
        <v>885</v>
      </c>
      <c r="C20" s="170" t="s">
        <v>2371</v>
      </c>
      <c r="D20" s="165" t="s">
        <v>466</v>
      </c>
      <c r="E20" s="165" t="s">
        <v>123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 x14ac:dyDescent="0.35">
      <c r="B21" s="188" t="s">
        <v>887</v>
      </c>
      <c r="C21" s="189" t="s">
        <v>2372</v>
      </c>
      <c r="D21" s="182" t="s">
        <v>466</v>
      </c>
      <c r="E21" s="182" t="s">
        <v>123</v>
      </c>
      <c r="F21" s="184">
        <v>44496</v>
      </c>
      <c r="G21" s="182" t="s">
        <v>7</v>
      </c>
      <c r="H21" s="182" t="s">
        <v>14</v>
      </c>
      <c r="I21" s="185"/>
    </row>
    <row r="22" spans="1:9" x14ac:dyDescent="0.3">
      <c r="A22" s="200">
        <v>5</v>
      </c>
      <c r="B22" s="174" t="s">
        <v>889</v>
      </c>
      <c r="C22" s="186" t="s">
        <v>2373</v>
      </c>
      <c r="D22" s="175" t="s">
        <v>466</v>
      </c>
      <c r="E22" s="175" t="s">
        <v>123</v>
      </c>
      <c r="F22" s="177">
        <v>44497</v>
      </c>
      <c r="G22" s="175" t="s">
        <v>7</v>
      </c>
      <c r="H22" s="175" t="s">
        <v>14</v>
      </c>
      <c r="I22" s="187"/>
    </row>
    <row r="23" spans="1:9" x14ac:dyDescent="0.3">
      <c r="B23" s="180" t="s">
        <v>891</v>
      </c>
      <c r="C23" s="170" t="s">
        <v>2374</v>
      </c>
      <c r="D23" s="165" t="s">
        <v>466</v>
      </c>
      <c r="E23" s="165" t="s">
        <v>123</v>
      </c>
      <c r="F23" s="167">
        <v>44497</v>
      </c>
      <c r="G23" s="165" t="s">
        <v>7</v>
      </c>
      <c r="H23" s="165" t="s">
        <v>14</v>
      </c>
      <c r="I23" s="181"/>
    </row>
    <row r="24" spans="1:9" x14ac:dyDescent="0.3">
      <c r="B24" s="180" t="s">
        <v>893</v>
      </c>
      <c r="C24" s="170" t="s">
        <v>2375</v>
      </c>
      <c r="D24" s="165" t="s">
        <v>466</v>
      </c>
      <c r="E24" s="165" t="s">
        <v>123</v>
      </c>
      <c r="F24" s="167">
        <v>44497</v>
      </c>
      <c r="G24" s="165" t="s">
        <v>7</v>
      </c>
      <c r="H24" s="165" t="s">
        <v>14</v>
      </c>
      <c r="I24" s="181"/>
    </row>
    <row r="25" spans="1:9" x14ac:dyDescent="0.3">
      <c r="B25" s="180" t="s">
        <v>895</v>
      </c>
      <c r="C25" s="170" t="s">
        <v>2376</v>
      </c>
      <c r="D25" s="165" t="s">
        <v>466</v>
      </c>
      <c r="E25" s="165" t="s">
        <v>123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 x14ac:dyDescent="0.35">
      <c r="B26" s="188" t="s">
        <v>897</v>
      </c>
      <c r="C26" s="189" t="s">
        <v>898</v>
      </c>
      <c r="D26" s="182" t="s">
        <v>466</v>
      </c>
      <c r="E26" s="182" t="s">
        <v>123</v>
      </c>
      <c r="F26" s="184">
        <v>44497</v>
      </c>
      <c r="G26" s="182" t="s">
        <v>7</v>
      </c>
      <c r="H26" s="182" t="s">
        <v>14</v>
      </c>
      <c r="I26" s="185"/>
    </row>
    <row r="27" spans="1:9" x14ac:dyDescent="0.3">
      <c r="A27" s="200">
        <v>8</v>
      </c>
      <c r="B27" s="174" t="s">
        <v>923</v>
      </c>
      <c r="C27" s="186" t="s">
        <v>924</v>
      </c>
      <c r="D27" s="175" t="s">
        <v>179</v>
      </c>
      <c r="E27" s="175" t="s">
        <v>300</v>
      </c>
      <c r="F27" s="177">
        <v>44498</v>
      </c>
      <c r="G27" s="175" t="s">
        <v>7</v>
      </c>
      <c r="H27" s="175" t="s">
        <v>24</v>
      </c>
      <c r="I27" s="187"/>
    </row>
    <row r="28" spans="1:9" x14ac:dyDescent="0.3">
      <c r="B28" s="180" t="s">
        <v>925</v>
      </c>
      <c r="C28" s="170" t="s">
        <v>926</v>
      </c>
      <c r="D28" s="165" t="s">
        <v>179</v>
      </c>
      <c r="E28" s="165" t="s">
        <v>300</v>
      </c>
      <c r="F28" s="167">
        <v>44498</v>
      </c>
      <c r="G28" s="165" t="s">
        <v>12</v>
      </c>
      <c r="H28" s="165" t="s">
        <v>24</v>
      </c>
      <c r="I28" s="181"/>
    </row>
    <row r="29" spans="1:9" x14ac:dyDescent="0.3">
      <c r="B29" s="180" t="s">
        <v>929</v>
      </c>
      <c r="C29" s="170" t="s">
        <v>930</v>
      </c>
      <c r="D29" s="165" t="s">
        <v>179</v>
      </c>
      <c r="E29" s="165" t="s">
        <v>300</v>
      </c>
      <c r="F29" s="167">
        <v>44498</v>
      </c>
      <c r="G29" s="165" t="s">
        <v>7</v>
      </c>
      <c r="H29" s="165" t="s">
        <v>24</v>
      </c>
      <c r="I29" s="181"/>
    </row>
    <row r="30" spans="1:9" x14ac:dyDescent="0.3">
      <c r="B30" s="180" t="s">
        <v>931</v>
      </c>
      <c r="C30" s="170" t="s">
        <v>932</v>
      </c>
      <c r="D30" s="165" t="s">
        <v>179</v>
      </c>
      <c r="E30" s="165" t="s">
        <v>300</v>
      </c>
      <c r="F30" s="167">
        <v>44498</v>
      </c>
      <c r="G30" s="165" t="s">
        <v>7</v>
      </c>
      <c r="H30" s="165" t="s">
        <v>24</v>
      </c>
      <c r="I30" s="181"/>
    </row>
    <row r="31" spans="1:9" x14ac:dyDescent="0.3">
      <c r="B31" s="180" t="s">
        <v>934</v>
      </c>
      <c r="C31" s="170" t="s">
        <v>935</v>
      </c>
      <c r="D31" s="165" t="s">
        <v>179</v>
      </c>
      <c r="E31" s="165" t="s">
        <v>300</v>
      </c>
      <c r="F31" s="167">
        <v>44498</v>
      </c>
      <c r="G31" s="165" t="s">
        <v>12</v>
      </c>
      <c r="H31" s="165" t="s">
        <v>11</v>
      </c>
      <c r="I31" s="181"/>
    </row>
    <row r="32" spans="1:9" x14ac:dyDescent="0.3">
      <c r="B32" s="180" t="s">
        <v>938</v>
      </c>
      <c r="C32" s="170" t="s">
        <v>937</v>
      </c>
      <c r="D32" s="165" t="s">
        <v>179</v>
      </c>
      <c r="E32" s="165" t="s">
        <v>300</v>
      </c>
      <c r="F32" s="167">
        <v>44498</v>
      </c>
      <c r="G32" s="165" t="s">
        <v>12</v>
      </c>
      <c r="H32" s="165" t="s">
        <v>24</v>
      </c>
      <c r="I32" s="181"/>
    </row>
    <row r="33" spans="2:9" x14ac:dyDescent="0.3">
      <c r="B33" s="180" t="s">
        <v>939</v>
      </c>
      <c r="C33" s="170" t="s">
        <v>2361</v>
      </c>
      <c r="D33" s="165" t="s">
        <v>179</v>
      </c>
      <c r="E33" s="165" t="s">
        <v>300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 x14ac:dyDescent="0.35">
      <c r="B34" s="188" t="s">
        <v>943</v>
      </c>
      <c r="C34" s="189" t="s">
        <v>2377</v>
      </c>
      <c r="D34" s="182" t="s">
        <v>179</v>
      </c>
      <c r="E34" s="182" t="s">
        <v>300</v>
      </c>
      <c r="F34" s="184">
        <v>44498</v>
      </c>
      <c r="G34" s="182" t="s">
        <v>12</v>
      </c>
      <c r="H34" s="182" t="s">
        <v>158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2378</v>
      </c>
      <c r="C1" s="111" t="s">
        <v>2379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2380</v>
      </c>
      <c r="M1" s="90">
        <v>44410</v>
      </c>
    </row>
    <row r="2" spans="1:13" x14ac:dyDescent="0.35">
      <c r="A2" s="85" t="s">
        <v>2381</v>
      </c>
      <c r="C2" s="86" t="s">
        <v>2382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2381</v>
      </c>
      <c r="C3" s="93" t="s">
        <v>2383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2381</v>
      </c>
      <c r="C4" s="93" t="s">
        <v>2384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2385</v>
      </c>
      <c r="C5" s="86" t="s">
        <v>2386</v>
      </c>
      <c r="D5" s="92">
        <v>3</v>
      </c>
      <c r="E5" s="92" t="s">
        <v>2387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2385</v>
      </c>
      <c r="B6" s="85" t="s">
        <v>46</v>
      </c>
      <c r="C6" s="93" t="s">
        <v>2388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2385</v>
      </c>
      <c r="B7" s="85" t="s">
        <v>46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2389</v>
      </c>
      <c r="K7" s="91">
        <v>2</v>
      </c>
      <c r="L7" s="91">
        <v>2</v>
      </c>
      <c r="M7" s="91">
        <v>2</v>
      </c>
    </row>
    <row r="8" spans="1:13" x14ac:dyDescent="0.35">
      <c r="A8" s="85" t="s">
        <v>2385</v>
      </c>
      <c r="B8" s="85" t="s">
        <v>46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2385</v>
      </c>
      <c r="B9" s="85" t="s">
        <v>46</v>
      </c>
      <c r="C9" s="93" t="s">
        <v>12</v>
      </c>
      <c r="D9" s="92" t="s">
        <v>2390</v>
      </c>
      <c r="E9" s="91" t="s">
        <v>2389</v>
      </c>
      <c r="F9" s="91" t="s">
        <v>2389</v>
      </c>
      <c r="G9" s="91">
        <v>2</v>
      </c>
      <c r="H9" s="91" t="s">
        <v>2389</v>
      </c>
      <c r="I9" s="91">
        <v>2</v>
      </c>
      <c r="J9" s="91" t="s">
        <v>2389</v>
      </c>
      <c r="K9" s="91" t="s">
        <v>2389</v>
      </c>
      <c r="L9" s="91">
        <v>2</v>
      </c>
      <c r="M9" s="91">
        <v>2</v>
      </c>
    </row>
    <row r="10" spans="1:13" x14ac:dyDescent="0.35">
      <c r="A10" s="85" t="s">
        <v>2385</v>
      </c>
      <c r="B10" s="85" t="s">
        <v>46</v>
      </c>
      <c r="C10" s="93" t="s">
        <v>10</v>
      </c>
      <c r="D10" s="91">
        <v>3</v>
      </c>
      <c r="E10" s="91">
        <v>3</v>
      </c>
      <c r="F10" s="91">
        <v>3</v>
      </c>
      <c r="G10" s="92" t="s">
        <v>2390</v>
      </c>
      <c r="H10" s="91" t="s">
        <v>2387</v>
      </c>
      <c r="I10" s="92" t="s">
        <v>2390</v>
      </c>
      <c r="J10" s="91" t="s">
        <v>2387</v>
      </c>
      <c r="K10" s="91" t="s">
        <v>2387</v>
      </c>
      <c r="L10" s="91">
        <v>2</v>
      </c>
      <c r="M10" s="91">
        <v>2</v>
      </c>
    </row>
    <row r="11" spans="1:13" x14ac:dyDescent="0.35">
      <c r="A11" s="85" t="s">
        <v>1414</v>
      </c>
      <c r="B11" s="85" t="s">
        <v>47</v>
      </c>
      <c r="C11" s="93" t="s">
        <v>158</v>
      </c>
      <c r="D11" s="91">
        <v>2</v>
      </c>
      <c r="E11" s="91" t="s">
        <v>2389</v>
      </c>
      <c r="F11" s="91">
        <v>2</v>
      </c>
      <c r="G11" s="92" t="s">
        <v>2390</v>
      </c>
      <c r="H11" s="92" t="s">
        <v>2391</v>
      </c>
      <c r="I11" s="91">
        <v>2</v>
      </c>
      <c r="J11" s="91" t="s">
        <v>2389</v>
      </c>
      <c r="K11" s="92">
        <v>4</v>
      </c>
      <c r="M11" s="91">
        <v>2</v>
      </c>
    </row>
    <row r="12" spans="1:13" x14ac:dyDescent="0.35">
      <c r="A12" s="85" t="s">
        <v>1414</v>
      </c>
      <c r="B12" s="85" t="s">
        <v>47</v>
      </c>
      <c r="C12" s="93" t="s">
        <v>11</v>
      </c>
      <c r="D12" s="91">
        <v>1</v>
      </c>
      <c r="E12" s="91">
        <v>1</v>
      </c>
      <c r="F12" s="91">
        <v>1</v>
      </c>
      <c r="G12" s="92" t="s">
        <v>2390</v>
      </c>
      <c r="H12" s="91" t="s">
        <v>2392</v>
      </c>
      <c r="I12" s="94" t="s">
        <v>2389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1414</v>
      </c>
      <c r="B13" s="85" t="s">
        <v>47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1450</v>
      </c>
      <c r="B14" s="85" t="s">
        <v>47</v>
      </c>
      <c r="C14" s="93" t="s">
        <v>521</v>
      </c>
      <c r="D14" s="94" t="s">
        <v>2387</v>
      </c>
      <c r="E14" s="94" t="s">
        <v>2387</v>
      </c>
      <c r="F14" s="95" t="s">
        <v>2391</v>
      </c>
    </row>
    <row r="15" spans="1:13" x14ac:dyDescent="0.35">
      <c r="A15" s="85" t="s">
        <v>1450</v>
      </c>
      <c r="B15" s="85" t="s">
        <v>47</v>
      </c>
      <c r="C15" s="93" t="s">
        <v>13</v>
      </c>
      <c r="D15" s="94">
        <v>2</v>
      </c>
      <c r="E15" s="94" t="s">
        <v>2389</v>
      </c>
      <c r="F15" s="95" t="s">
        <v>2390</v>
      </c>
      <c r="G15" s="95" t="s">
        <v>2390</v>
      </c>
      <c r="H15" s="94">
        <v>2</v>
      </c>
      <c r="I15" s="94" t="s">
        <v>2389</v>
      </c>
      <c r="J15" s="94" t="s">
        <v>2389</v>
      </c>
      <c r="K15" s="95" t="s">
        <v>2390</v>
      </c>
      <c r="L15" s="94">
        <v>2</v>
      </c>
      <c r="M15" s="94">
        <v>2</v>
      </c>
    </row>
    <row r="16" spans="1:13" x14ac:dyDescent="0.35">
      <c r="A16" s="85" t="s">
        <v>1450</v>
      </c>
      <c r="B16" s="85" t="s">
        <v>2393</v>
      </c>
      <c r="C16" s="93" t="s">
        <v>27</v>
      </c>
      <c r="I16" s="94">
        <v>2</v>
      </c>
      <c r="J16" s="91">
        <v>1</v>
      </c>
      <c r="K16" s="94" t="s">
        <v>2389</v>
      </c>
      <c r="L16" s="94"/>
      <c r="M16" s="94">
        <v>2</v>
      </c>
    </row>
    <row r="17" spans="1:13" x14ac:dyDescent="0.35">
      <c r="A17" s="85" t="s">
        <v>1450</v>
      </c>
      <c r="B17" s="85" t="s">
        <v>2393</v>
      </c>
      <c r="C17" s="93" t="s">
        <v>15</v>
      </c>
      <c r="G17" s="91">
        <v>1</v>
      </c>
      <c r="I17" s="95" t="s">
        <v>2391</v>
      </c>
      <c r="J17" s="95">
        <v>4</v>
      </c>
      <c r="K17" s="94" t="s">
        <v>2389</v>
      </c>
      <c r="L17" s="94"/>
      <c r="M17" s="94">
        <v>2</v>
      </c>
    </row>
    <row r="18" spans="1:13" x14ac:dyDescent="0.35">
      <c r="A18" s="85" t="s">
        <v>1450</v>
      </c>
      <c r="B18" s="85" t="s">
        <v>2393</v>
      </c>
      <c r="C18" s="93" t="s">
        <v>20</v>
      </c>
      <c r="I18" s="94" t="s">
        <v>2387</v>
      </c>
      <c r="J18" s="94">
        <v>2</v>
      </c>
      <c r="K18" s="91" t="s">
        <v>2392</v>
      </c>
      <c r="M18" s="94">
        <v>2</v>
      </c>
    </row>
    <row r="19" spans="1:13" x14ac:dyDescent="0.35">
      <c r="A19" s="85" t="s">
        <v>991</v>
      </c>
      <c r="B19" s="85" t="s">
        <v>47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991</v>
      </c>
      <c r="B20" s="85" t="s">
        <v>47</v>
      </c>
      <c r="C20" s="86" t="s">
        <v>25</v>
      </c>
      <c r="M20" s="94">
        <v>2</v>
      </c>
    </row>
    <row r="21" spans="1:13" x14ac:dyDescent="0.35">
      <c r="A21" s="85" t="s">
        <v>991</v>
      </c>
      <c r="B21" s="85" t="s">
        <v>47</v>
      </c>
      <c r="C21" s="86" t="s">
        <v>21</v>
      </c>
      <c r="M21" s="94">
        <v>2</v>
      </c>
    </row>
    <row r="22" spans="1:13" x14ac:dyDescent="0.35">
      <c r="A22" s="85" t="s">
        <v>2285</v>
      </c>
      <c r="B22" s="85" t="s">
        <v>47</v>
      </c>
      <c r="C22" s="93" t="s">
        <v>221</v>
      </c>
      <c r="H22" s="91">
        <v>1</v>
      </c>
      <c r="J22" s="91" t="s">
        <v>2394</v>
      </c>
      <c r="K22" s="95" t="s">
        <v>2390</v>
      </c>
      <c r="M22" s="94">
        <v>2</v>
      </c>
    </row>
    <row r="23" spans="1:13" x14ac:dyDescent="0.35">
      <c r="A23" s="85" t="s">
        <v>2285</v>
      </c>
      <c r="B23" s="85" t="s">
        <v>47</v>
      </c>
      <c r="C23" s="93" t="s">
        <v>26</v>
      </c>
      <c r="H23" s="91">
        <v>1</v>
      </c>
      <c r="J23" s="91">
        <v>1</v>
      </c>
      <c r="K23" s="92" t="s">
        <v>2394</v>
      </c>
      <c r="M23" s="94">
        <v>2</v>
      </c>
    </row>
    <row r="24" spans="1:13" x14ac:dyDescent="0.35">
      <c r="A24" s="85" t="s">
        <v>2285</v>
      </c>
      <c r="B24" s="85" t="s">
        <v>47</v>
      </c>
      <c r="C24" s="86" t="s">
        <v>28</v>
      </c>
      <c r="M24" s="94">
        <v>2</v>
      </c>
    </row>
    <row r="25" spans="1:13" x14ac:dyDescent="0.35">
      <c r="A25" s="85" t="s">
        <v>2285</v>
      </c>
      <c r="B25" s="85" t="s">
        <v>47</v>
      </c>
      <c r="C25" s="86" t="s">
        <v>2282</v>
      </c>
      <c r="M25" s="91">
        <v>1</v>
      </c>
    </row>
    <row r="26" spans="1:13" x14ac:dyDescent="0.35">
      <c r="A26" s="85" t="s">
        <v>2285</v>
      </c>
      <c r="B26" s="85" t="s">
        <v>47</v>
      </c>
      <c r="C26" s="86" t="s">
        <v>2300</v>
      </c>
      <c r="M26" s="94">
        <v>2</v>
      </c>
    </row>
    <row r="29" spans="1:13" hidden="1" x14ac:dyDescent="0.35">
      <c r="A29" s="85" t="s">
        <v>2395</v>
      </c>
      <c r="C29" s="86" t="s">
        <v>179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2395</v>
      </c>
      <c r="C30" s="86" t="s">
        <v>122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2395</v>
      </c>
      <c r="C31" s="86" t="s">
        <v>2396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2395</v>
      </c>
      <c r="C32" s="86" t="s">
        <v>123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2395</v>
      </c>
      <c r="C33" s="86" t="s">
        <v>300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2395</v>
      </c>
      <c r="C34" s="86" t="s">
        <v>180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2395</v>
      </c>
      <c r="C35" s="86" t="s">
        <v>189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2397</v>
      </c>
    </row>
    <row r="38" spans="1:13" x14ac:dyDescent="0.35">
      <c r="B38" s="85">
        <v>2</v>
      </c>
      <c r="C38" s="85" t="s">
        <v>2398</v>
      </c>
    </row>
    <row r="39" spans="1:13" x14ac:dyDescent="0.35">
      <c r="B39" s="85">
        <v>3</v>
      </c>
      <c r="C39" s="85" t="s">
        <v>2399</v>
      </c>
    </row>
    <row r="40" spans="1:13" x14ac:dyDescent="0.35">
      <c r="B40" s="85">
        <v>4</v>
      </c>
      <c r="C40" s="112" t="s">
        <v>2400</v>
      </c>
    </row>
    <row r="41" spans="1:13" x14ac:dyDescent="0.35">
      <c r="B41" s="87"/>
      <c r="C41" s="85" t="s">
        <v>2401</v>
      </c>
    </row>
    <row r="42" spans="1:13" ht="15.75" customHeight="1" x14ac:dyDescent="0.35">
      <c r="B42" s="85" t="s">
        <v>2402</v>
      </c>
      <c r="C42" s="104" t="s">
        <v>2403</v>
      </c>
    </row>
    <row r="43" spans="1:13" ht="15.75" customHeight="1" x14ac:dyDescent="0.35">
      <c r="B43" s="85" t="s">
        <v>997</v>
      </c>
      <c r="C43" s="104" t="s">
        <v>2404</v>
      </c>
    </row>
    <row r="45" spans="1:13" ht="15.75" customHeight="1" x14ac:dyDescent="0.35">
      <c r="C45" s="105" t="s">
        <v>2405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2022-01-12T03:17:05Z</dcterms:modified>
</cp:coreProperties>
</file>